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OfficeAssistantStaff\Documents\"/>
    </mc:Choice>
  </mc:AlternateContent>
  <bookViews>
    <workbookView xWindow="0" yWindow="0" windowWidth="28800" windowHeight="11115"/>
  </bookViews>
  <sheets>
    <sheet name="Timetable（R2・秋冬学期) " sheetId="17" r:id="rId1"/>
    <sheet name="Sheet2" sheetId="18" r:id="rId2"/>
    <sheet name="Sheet1" sheetId="2" state="hidden" r:id="rId3"/>
  </sheets>
  <definedNames>
    <definedName name="_xlnm._FilterDatabase" localSheetId="1" hidden="1">Sheet2!$B$1:$I$25</definedName>
    <definedName name="FamilyName">'Timetable（R2・秋冬学期) '!$E$4</definedName>
    <definedName name="FirstName">'Timetable（R2・秋冬学期) '!$E$5</definedName>
    <definedName name="Friday1">'Timetable（R2・秋冬学期) '!$H$62:$M$63</definedName>
    <definedName name="Friday1_Y">'Timetable（R2・秋冬学期) '!$M$62</definedName>
    <definedName name="Friday2">'Timetable（R2・秋冬学期) '!$H$90:$M$93</definedName>
    <definedName name="Friday2_Y">'Timetable（R2・秋冬学期) '!$M$90:$M$93</definedName>
    <definedName name="Friday4">'Timetable（R2・秋冬学期) '!$H$102:$M$105</definedName>
    <definedName name="Friday4_Y">'Timetable（R2・秋冬学期) '!$M$102:$M$105</definedName>
    <definedName name="Friday5">'Timetable（R2・秋冬学期) '!$H$106:$M$107</definedName>
    <definedName name="Friday5_Y">'Timetable（R2・秋冬学期) '!$M$106:$M$107</definedName>
    <definedName name="Monday2">'Timetable（R2・秋冬学期) '!$B$38:$G$39</definedName>
    <definedName name="Monday2_Y">'Timetable（R2・秋冬学期) '!$G$38</definedName>
    <definedName name="Monday3">'Timetable（R2・秋冬学期) '!$B$44:$G$47</definedName>
    <definedName name="Monday3_Y">'Timetable（R2・秋冬学期) '!$G$44:$G$47</definedName>
    <definedName name="Monday4">'Timetable（R2・秋冬学期) '!$B$48:$G$51</definedName>
    <definedName name="Monday4_Y">'Timetable（R2・秋冬学期) '!$G$48:$G$51</definedName>
    <definedName name="Monday5">'Timetable（R2・秋冬学期) '!$B$54:$G$55</definedName>
    <definedName name="Monday5_Y">'Timetable（R2・秋冬学期) '!$G$54:$G$55</definedName>
    <definedName name="_xlnm.Print_Area" localSheetId="0">'Timetable（R2・秋冬学期) '!$A$7:$R$57</definedName>
    <definedName name="StudentID">'Timetable（R2・秋冬学期) '!$E$2</definedName>
    <definedName name="Thursday1">'Timetable（R2・秋冬学期) '!$B$84:$G$87</definedName>
    <definedName name="Thursday1_Y">'Timetable（R2・秋冬学期) '!$G$84:$G$87</definedName>
    <definedName name="Thursday2">'Timetable（R2・秋冬学期) '!$B$92:$G$97</definedName>
    <definedName name="Thursday2_Y">'Timetable（R2・秋冬学期) '!$G$92:$G$97</definedName>
    <definedName name="Thursday3">'Timetable（R2・秋冬学期) '!$B$98:$G$101</definedName>
    <definedName name="Thursday3_Y">'Timetable（R2・秋冬学期) '!$G$98:$G$101</definedName>
    <definedName name="Thursday4">'Timetable（R2・秋冬学期) '!$B$102:$G$105</definedName>
    <definedName name="Thursday4_Y">'Timetable（R2・秋冬学期) '!$G$102:$G$105</definedName>
    <definedName name="Thursday5">'Timetable（R2・秋冬学期) '!$B$106:$G$109</definedName>
    <definedName name="Thursday5_Y">'Timetable（R2・秋冬学期) '!$G$106:$G$109</definedName>
    <definedName name="Tuesday1">'Timetable（R2・秋冬学期) '!$H$10:$M$37</definedName>
    <definedName name="Tuesday1_Y">'Timetable（R2・秋冬学期) '!$M$10:$M$37</definedName>
    <definedName name="Tuesday2">'Timetable（R2・秋冬学期) '!$H$38:$M$43</definedName>
    <definedName name="Tuesday2_Y">'Timetable（R2・秋冬学期) '!$M$38:$M$43</definedName>
    <definedName name="Tuesday3">'Timetable（R2・秋冬学期) '!$H$44:$M$47</definedName>
    <definedName name="Tuesday3_Y">'Timetable（R2・秋冬学期) '!$M$44:$M$47</definedName>
    <definedName name="Tuesday4">'Timetable（R2・秋冬学期) '!$H$48:$M$53</definedName>
    <definedName name="Tuesday4_Y">'Timetable（R2・秋冬学期) '!$M$48:$M$53</definedName>
    <definedName name="Wednesday1">'Timetable（R2・秋冬学期) '!$N$32:$S$37</definedName>
    <definedName name="Wednesday1_Y">'Timetable（R2・秋冬学期) '!$S$32:$S$37</definedName>
    <definedName name="Wednesday2">'Timetable（R2・秋冬学期) '!$N$38:$S$43</definedName>
    <definedName name="Wednesday2_Y">'Timetable（R2・秋冬学期) '!$S$38:$S$43</definedName>
    <definedName name="Wednesday3">'Timetable（R2・秋冬学期) '!$N$44:$S$45</definedName>
    <definedName name="Wednesday3_Y">'Timetable（R2・秋冬学期) '!$S$44:$S$45</definedName>
    <definedName name="Wednesday4">'Timetable（R2・秋冬学期) '!$N$48:$S$51</definedName>
    <definedName name="Wednesday4_Y">'Timetable（R2・秋冬学期) '!$S$48:$S$51</definedName>
    <definedName name="Wednesday5">'Timetable（R2・秋冬学期) '!$N$54:$S$55</definedName>
    <definedName name="Wednesday5_Y">'Timetable（R2・秋冬学期) '!$S$54</definedName>
  </definedNames>
  <calcPr calcId="162913"/>
</workbook>
</file>

<file path=xl/calcChain.xml><?xml version="1.0" encoding="utf-8"?>
<calcChain xmlns="http://schemas.openxmlformats.org/spreadsheetml/2006/main">
  <c r="E7" i="18" l="1"/>
  <c r="E26" i="18"/>
  <c r="E25" i="18"/>
  <c r="E23" i="18"/>
  <c r="E21" i="18"/>
  <c r="E20" i="18"/>
  <c r="E19" i="18"/>
  <c r="E18" i="18"/>
  <c r="E17" i="18"/>
  <c r="E16" i="18"/>
  <c r="E15" i="18"/>
  <c r="E14" i="18"/>
  <c r="E13" i="18"/>
  <c r="E12" i="18"/>
  <c r="E10" i="18"/>
  <c r="E9" i="18"/>
  <c r="E8" i="18"/>
  <c r="E6" i="18"/>
  <c r="E4" i="18"/>
  <c r="E3" i="18"/>
  <c r="E5" i="18"/>
  <c r="Q90" i="17" l="1"/>
  <c r="Q94" i="17"/>
  <c r="G90" i="17"/>
  <c r="G88" i="17"/>
  <c r="S22" i="17" l="1"/>
  <c r="S28" i="17"/>
  <c r="G64" i="17" l="1"/>
  <c r="G66" i="17"/>
  <c r="G68" i="17"/>
  <c r="G70" i="17"/>
  <c r="G72" i="17"/>
  <c r="G74" i="17"/>
  <c r="G76" i="17"/>
  <c r="G78" i="17"/>
  <c r="G80" i="17"/>
  <c r="G82" i="17"/>
  <c r="G62" i="17"/>
  <c r="S12" i="17"/>
  <c r="S14" i="17"/>
  <c r="S16" i="17"/>
  <c r="S18" i="17"/>
  <c r="S20" i="17"/>
  <c r="S24" i="17"/>
  <c r="S26" i="17"/>
  <c r="S30" i="17"/>
  <c r="S10" i="17"/>
  <c r="B25" i="18" l="1"/>
  <c r="B3" i="18"/>
  <c r="B4" i="18"/>
  <c r="B5" i="18"/>
  <c r="B6" i="18"/>
  <c r="B7" i="18"/>
  <c r="B8" i="18"/>
  <c r="B9" i="18"/>
  <c r="B10" i="18"/>
  <c r="B11" i="18"/>
  <c r="B12" i="18"/>
  <c r="B13" i="18"/>
  <c r="B14" i="18"/>
  <c r="B15" i="18"/>
  <c r="B16" i="18"/>
  <c r="B17" i="18"/>
  <c r="B18" i="18"/>
  <c r="B19" i="18"/>
  <c r="B20" i="18"/>
  <c r="B21" i="18"/>
  <c r="B22" i="18"/>
  <c r="B23" i="18"/>
  <c r="B24" i="18"/>
  <c r="B26" i="18"/>
  <c r="B2" i="18"/>
  <c r="A2" i="18"/>
  <c r="A4" i="18"/>
  <c r="A26" i="18"/>
  <c r="A25" i="18"/>
  <c r="A24" i="18"/>
  <c r="A23" i="18"/>
  <c r="A22" i="18"/>
  <c r="A21" i="18"/>
  <c r="A20" i="18"/>
  <c r="A19" i="18"/>
  <c r="A18" i="18"/>
  <c r="A17" i="18"/>
  <c r="A16" i="18"/>
  <c r="A15" i="18"/>
  <c r="A14" i="18"/>
  <c r="A13" i="18"/>
  <c r="A12" i="18"/>
  <c r="A11" i="18"/>
  <c r="A10" i="18"/>
  <c r="A9" i="18"/>
  <c r="A8" i="18"/>
  <c r="A7" i="18"/>
  <c r="A6" i="18"/>
  <c r="A5" i="18"/>
  <c r="A3" i="18"/>
  <c r="L14" i="18"/>
  <c r="M14" i="18" s="1"/>
  <c r="L26" i="18"/>
  <c r="M26" i="18" s="1"/>
  <c r="L21" i="18"/>
  <c r="M21" i="18" s="1"/>
  <c r="L6" i="18"/>
  <c r="M6" i="18" s="1"/>
  <c r="N14" i="18"/>
  <c r="H14" i="18" s="1"/>
  <c r="Q98" i="17"/>
  <c r="L17" i="18"/>
  <c r="M17" i="18" s="1"/>
  <c r="L23" i="18"/>
  <c r="N23" i="18" s="1"/>
  <c r="L20" i="18"/>
  <c r="N20" i="18" s="1"/>
  <c r="L25" i="18"/>
  <c r="N25" i="18" s="1"/>
  <c r="L19" i="18"/>
  <c r="N19" i="18" s="1"/>
  <c r="L18" i="18"/>
  <c r="N18" i="18" s="1"/>
  <c r="L15" i="18"/>
  <c r="M15" i="18" s="1"/>
  <c r="L13" i="18"/>
  <c r="M13" i="18" s="1"/>
  <c r="L10" i="18"/>
  <c r="M10" i="18" s="1"/>
  <c r="L9" i="18"/>
  <c r="M9" i="18" s="1"/>
  <c r="L8" i="18"/>
  <c r="N8" i="18" s="1"/>
  <c r="L7" i="18"/>
  <c r="N7" i="18" s="1"/>
  <c r="L5" i="18"/>
  <c r="N5" i="18" s="1"/>
  <c r="L4" i="18"/>
  <c r="N4" i="18" s="1"/>
  <c r="H4" i="18" s="1"/>
  <c r="L3" i="18"/>
  <c r="M3" i="18" s="1"/>
  <c r="L12" i="18"/>
  <c r="N12" i="18" s="1"/>
  <c r="N21" i="18" l="1"/>
  <c r="H21" i="18" s="1"/>
  <c r="M4" i="18"/>
  <c r="N6" i="18"/>
  <c r="F6" i="18" s="1"/>
  <c r="N26" i="18"/>
  <c r="H26" i="18" s="1"/>
  <c r="M8" i="18"/>
  <c r="I8" i="18" s="1"/>
  <c r="M25" i="18"/>
  <c r="I25" i="18" s="1"/>
  <c r="I14" i="18"/>
  <c r="F26" i="18"/>
  <c r="G14" i="18"/>
  <c r="M12" i="18"/>
  <c r="I12" i="18" s="1"/>
  <c r="M5" i="18"/>
  <c r="I5" i="18" s="1"/>
  <c r="N3" i="18"/>
  <c r="H3" i="18" s="1"/>
  <c r="G6" i="18"/>
  <c r="F21" i="18"/>
  <c r="G21" i="18"/>
  <c r="F14" i="18"/>
  <c r="F19" i="18"/>
  <c r="G19" i="18"/>
  <c r="M19" i="18"/>
  <c r="N13" i="18"/>
  <c r="I13" i="18" s="1"/>
  <c r="F4" i="18"/>
  <c r="H19" i="18"/>
  <c r="N10" i="18"/>
  <c r="G10" i="18" s="1"/>
  <c r="N15" i="18"/>
  <c r="F15" i="18" s="1"/>
  <c r="N9" i="18"/>
  <c r="M23" i="18"/>
  <c r="H23" i="18" s="1"/>
  <c r="M20" i="18"/>
  <c r="F20" i="18" s="1"/>
  <c r="M7" i="18"/>
  <c r="I7" i="18" s="1"/>
  <c r="N17" i="18"/>
  <c r="H17" i="18" s="1"/>
  <c r="I19" i="18"/>
  <c r="M18" i="18"/>
  <c r="H18" i="18" s="1"/>
  <c r="I4" i="18"/>
  <c r="G4" i="18"/>
  <c r="H25" i="18" l="1"/>
  <c r="F25" i="18"/>
  <c r="I21" i="18"/>
  <c r="G25" i="18"/>
  <c r="G12" i="18"/>
  <c r="I3" i="18"/>
  <c r="H12" i="18"/>
  <c r="F12" i="18"/>
  <c r="I26" i="18"/>
  <c r="I17" i="18"/>
  <c r="I6" i="18"/>
  <c r="H6" i="18"/>
  <c r="H8" i="18"/>
  <c r="F8" i="18"/>
  <c r="G8" i="18"/>
  <c r="G26" i="18"/>
  <c r="G7" i="18"/>
  <c r="H7" i="18"/>
  <c r="F7" i="18"/>
  <c r="F13" i="18"/>
  <c r="F23" i="18"/>
  <c r="I23" i="18"/>
  <c r="G23" i="18"/>
  <c r="G20" i="18"/>
  <c r="I20" i="18"/>
  <c r="H20" i="18"/>
  <c r="G5" i="18"/>
  <c r="F5" i="18"/>
  <c r="H5" i="18"/>
  <c r="G18" i="18"/>
  <c r="F18" i="18"/>
  <c r="I18" i="18"/>
  <c r="G3" i="18"/>
  <c r="F3" i="18"/>
  <c r="G13" i="18"/>
  <c r="H13" i="18"/>
  <c r="I9" i="18"/>
  <c r="H9" i="18"/>
  <c r="G9" i="18"/>
  <c r="F9" i="18"/>
  <c r="H10" i="18"/>
  <c r="I10" i="18"/>
  <c r="F10" i="18"/>
  <c r="G15" i="18"/>
  <c r="I15" i="18"/>
  <c r="H15" i="18"/>
  <c r="F17" i="18"/>
  <c r="G17" i="18"/>
</calcChain>
</file>

<file path=xl/sharedStrings.xml><?xml version="1.0" encoding="utf-8"?>
<sst xmlns="http://schemas.openxmlformats.org/spreadsheetml/2006/main" count="492" uniqueCount="312">
  <si>
    <t>吹田</t>
    <rPh sb="0" eb="2">
      <t>スイタ</t>
    </rPh>
    <phoneticPr fontId="2"/>
  </si>
  <si>
    <t>秋・冬</t>
    <rPh sb="0" eb="1">
      <t>アキ</t>
    </rPh>
    <rPh sb="2" eb="3">
      <t>フユ</t>
    </rPh>
    <phoneticPr fontId="2"/>
  </si>
  <si>
    <t>春・夏</t>
    <rPh sb="0" eb="1">
      <t>ハル</t>
    </rPh>
    <rPh sb="2" eb="3">
      <t>ナツ</t>
    </rPh>
    <phoneticPr fontId="2"/>
  </si>
  <si>
    <t>有</t>
    <rPh sb="0" eb="1">
      <t>ア</t>
    </rPh>
    <phoneticPr fontId="2"/>
  </si>
  <si>
    <t>無</t>
    <rPh sb="0" eb="1">
      <t>ナシ</t>
    </rPh>
    <phoneticPr fontId="2"/>
  </si>
  <si>
    <t>豊中</t>
    <rPh sb="0" eb="2">
      <t>トヨナカ</t>
    </rPh>
    <phoneticPr fontId="2"/>
  </si>
  <si>
    <t>箕面</t>
    <rPh sb="0" eb="2">
      <t>ミノオ</t>
    </rPh>
    <phoneticPr fontId="2"/>
  </si>
  <si>
    <t>異文化理解演習</t>
    <rPh sb="0" eb="3">
      <t>イブンカ</t>
    </rPh>
    <rPh sb="3" eb="5">
      <t>リカイ</t>
    </rPh>
    <rPh sb="5" eb="7">
      <t>エンシュウ</t>
    </rPh>
    <phoneticPr fontId="2"/>
  </si>
  <si>
    <t>Elbalti Beligh</t>
  </si>
  <si>
    <t>Sachihiko KONDO</t>
  </si>
  <si>
    <t>中野　遼子</t>
    <rPh sb="0" eb="2">
      <t>ナカノ</t>
    </rPh>
    <rPh sb="3" eb="5">
      <t>リョウコ</t>
    </rPh>
    <phoneticPr fontId="2"/>
  </si>
  <si>
    <t>Tuesday</t>
  </si>
  <si>
    <t>Wednesday</t>
  </si>
  <si>
    <t>Mioko YOSHINAGA</t>
  </si>
  <si>
    <t>Koichi NISHIGUCHI</t>
  </si>
  <si>
    <t>Ryoko NAKANO</t>
  </si>
  <si>
    <t>義永　美央子</t>
    <rPh sb="5" eb="6">
      <t>コ</t>
    </rPh>
    <phoneticPr fontId="2"/>
  </si>
  <si>
    <t>上仲　淳</t>
    <rPh sb="0" eb="1">
      <t>ウエ</t>
    </rPh>
    <rPh sb="1" eb="2">
      <t>ナカ</t>
    </rPh>
    <rPh sb="3" eb="4">
      <t>ジュン</t>
    </rPh>
    <phoneticPr fontId="2"/>
  </si>
  <si>
    <t>矢部　正人</t>
    <rPh sb="0" eb="2">
      <t>ヤベ</t>
    </rPh>
    <rPh sb="3" eb="5">
      <t>マサト</t>
    </rPh>
    <phoneticPr fontId="2"/>
  </si>
  <si>
    <t>菅　摂子</t>
    <rPh sb="0" eb="1">
      <t>カン</t>
    </rPh>
    <rPh sb="2" eb="4">
      <t>セツコ</t>
    </rPh>
    <phoneticPr fontId="2"/>
  </si>
  <si>
    <t>花井　理香</t>
    <rPh sb="0" eb="1">
      <t>ハナ</t>
    </rPh>
    <rPh sb="3" eb="4">
      <t>リ</t>
    </rPh>
    <rPh sb="4" eb="5">
      <t>カオリ</t>
    </rPh>
    <phoneticPr fontId="2"/>
  </si>
  <si>
    <t>半田　佳奈子</t>
    <rPh sb="0" eb="2">
      <t>ハンダ</t>
    </rPh>
    <rPh sb="3" eb="6">
      <t>カナコ</t>
    </rPh>
    <phoneticPr fontId="2"/>
  </si>
  <si>
    <t>蔭山　拓</t>
    <rPh sb="0" eb="2">
      <t>カゲヤマ</t>
    </rPh>
    <rPh sb="3" eb="4">
      <t>タク</t>
    </rPh>
    <phoneticPr fontId="2"/>
  </si>
  <si>
    <t>伊藤　創</t>
    <rPh sb="0" eb="2">
      <t>イトウ</t>
    </rPh>
    <rPh sb="3" eb="4">
      <t>ハジメ</t>
    </rPh>
    <phoneticPr fontId="2"/>
  </si>
  <si>
    <t>Curriculum Code</t>
    <phoneticPr fontId="2"/>
  </si>
  <si>
    <t>Course Title</t>
    <phoneticPr fontId="2"/>
  </si>
  <si>
    <t>Instructor</t>
    <phoneticPr fontId="2"/>
  </si>
  <si>
    <t>Room</t>
    <phoneticPr fontId="2"/>
  </si>
  <si>
    <t>Yozo OKAZAKI</t>
    <phoneticPr fontId="2"/>
  </si>
  <si>
    <t>Toshihiko OBARA</t>
    <phoneticPr fontId="2"/>
  </si>
  <si>
    <t>Masato YABE</t>
    <phoneticPr fontId="2"/>
  </si>
  <si>
    <t>Day</t>
    <phoneticPr fontId="2"/>
  </si>
  <si>
    <t>Friday</t>
    <phoneticPr fontId="2"/>
  </si>
  <si>
    <t>山田　真知子</t>
    <rPh sb="0" eb="2">
      <t>ヤマダ</t>
    </rPh>
    <rPh sb="3" eb="6">
      <t>マチコ</t>
    </rPh>
    <phoneticPr fontId="2"/>
  </si>
  <si>
    <t>Monday</t>
    <phoneticPr fontId="2"/>
  </si>
  <si>
    <t>Period</t>
    <phoneticPr fontId="2"/>
  </si>
  <si>
    <t>Campus</t>
    <phoneticPr fontId="2"/>
  </si>
  <si>
    <t>Campus</t>
    <phoneticPr fontId="2"/>
  </si>
  <si>
    <t>Room</t>
    <phoneticPr fontId="2"/>
  </si>
  <si>
    <t>Campus</t>
    <phoneticPr fontId="2"/>
  </si>
  <si>
    <t>Room</t>
    <phoneticPr fontId="2"/>
  </si>
  <si>
    <t>Instructor</t>
    <phoneticPr fontId="2"/>
  </si>
  <si>
    <t>Koji NAMBA</t>
    <phoneticPr fontId="2"/>
  </si>
  <si>
    <t>Rika HANAI</t>
    <phoneticPr fontId="2"/>
  </si>
  <si>
    <t>Jun UENAKA</t>
    <phoneticPr fontId="2"/>
  </si>
  <si>
    <t>Kanako HANDA</t>
    <phoneticPr fontId="2"/>
  </si>
  <si>
    <t>Yoshie FUJISAWA</t>
    <phoneticPr fontId="2"/>
  </si>
  <si>
    <t>Shinya OTANI</t>
    <phoneticPr fontId="2"/>
  </si>
  <si>
    <t>Machiko YAMADA</t>
    <phoneticPr fontId="2"/>
  </si>
  <si>
    <t>Thursday</t>
    <phoneticPr fontId="2"/>
  </si>
  <si>
    <t>Period</t>
    <phoneticPr fontId="2"/>
  </si>
  <si>
    <t>Campus</t>
    <phoneticPr fontId="2"/>
  </si>
  <si>
    <t>Course Title</t>
    <phoneticPr fontId="2"/>
  </si>
  <si>
    <t>Instructor</t>
    <phoneticPr fontId="2"/>
  </si>
  <si>
    <t>Course Title</t>
    <phoneticPr fontId="2"/>
  </si>
  <si>
    <t>Hiroshi KAGEYAMA</t>
    <phoneticPr fontId="2"/>
  </si>
  <si>
    <t>Hajime ITO</t>
    <phoneticPr fontId="2"/>
  </si>
  <si>
    <t>Registration</t>
    <phoneticPr fontId="2"/>
  </si>
  <si>
    <t>StudentID</t>
    <phoneticPr fontId="2"/>
  </si>
  <si>
    <t>School</t>
    <phoneticPr fontId="2"/>
  </si>
  <si>
    <t>Family Name</t>
    <phoneticPr fontId="2"/>
  </si>
  <si>
    <t>First Name</t>
    <phoneticPr fontId="2"/>
  </si>
  <si>
    <t>Independent Study</t>
    <phoneticPr fontId="2"/>
  </si>
  <si>
    <t>Name of your supervisor</t>
    <phoneticPr fontId="2"/>
  </si>
  <si>
    <t># of credit</t>
    <phoneticPr fontId="2"/>
  </si>
  <si>
    <t>Summary of your registration</t>
    <phoneticPr fontId="2"/>
  </si>
  <si>
    <t>The number of couses you register</t>
    <phoneticPr fontId="2"/>
  </si>
  <si>
    <t>Total number of credits you register</t>
    <phoneticPr fontId="2"/>
  </si>
  <si>
    <t>You should take other OU course(1 or 0)</t>
    <phoneticPr fontId="2"/>
  </si>
  <si>
    <t>Name</t>
  </si>
  <si>
    <t>Day</t>
  </si>
  <si>
    <t>Period</t>
  </si>
  <si>
    <t>Curriculum Code</t>
  </si>
  <si>
    <t>Course Title</t>
  </si>
  <si>
    <t>Instructor</t>
  </si>
  <si>
    <t>Campus</t>
  </si>
  <si>
    <t>Room</t>
  </si>
  <si>
    <t>Mon</t>
  </si>
  <si>
    <t>Tue</t>
  </si>
  <si>
    <t>Wed</t>
  </si>
  <si>
    <t>Thu</t>
  </si>
  <si>
    <t>Fri</t>
  </si>
  <si>
    <t>Count</t>
    <phoneticPr fontId="2"/>
  </si>
  <si>
    <t>Column</t>
    <phoneticPr fontId="2"/>
  </si>
  <si>
    <t>Check</t>
    <phoneticPr fontId="2"/>
  </si>
  <si>
    <t>難波　康治　</t>
    <phoneticPr fontId="2"/>
  </si>
  <si>
    <t>浦木　貴和</t>
    <rPh sb="0" eb="2">
      <t>ウラキ</t>
    </rPh>
    <rPh sb="3" eb="5">
      <t>タカカズ</t>
    </rPh>
    <phoneticPr fontId="2"/>
  </si>
  <si>
    <t>Norikazu URAKI</t>
    <phoneticPr fontId="2"/>
  </si>
  <si>
    <t>福良　直子</t>
    <rPh sb="0" eb="2">
      <t>フクラ</t>
    </rPh>
    <rPh sb="3" eb="5">
      <t>ナオコ</t>
    </rPh>
    <phoneticPr fontId="2"/>
  </si>
  <si>
    <t>Naoko FUKURA</t>
    <phoneticPr fontId="2"/>
  </si>
  <si>
    <t>大谷　晋也</t>
  </si>
  <si>
    <t>Japanese JA100 - Track 1　　(Tue1,  Wed1,  Thu1)</t>
    <phoneticPr fontId="2"/>
  </si>
  <si>
    <t>Japanese JA100 - Track 2  　　(Tue1,  Wed1,  Thu1)</t>
    <phoneticPr fontId="2"/>
  </si>
  <si>
    <t xml:space="preserve">＊総合日本語JA100-トラック3は火曜日２時に開講 </t>
    <rPh sb="18" eb="21">
      <t>カヨウビ</t>
    </rPh>
    <rPh sb="22" eb="23">
      <t>ジ</t>
    </rPh>
    <rPh sb="24" eb="26">
      <t>カイコウ</t>
    </rPh>
    <phoneticPr fontId="2"/>
  </si>
  <si>
    <t xml:space="preserve">総合日本語JA100-トラック5 </t>
    <phoneticPr fontId="2"/>
  </si>
  <si>
    <t xml:space="preserve">総合日本語JA200-トラック1  </t>
    <phoneticPr fontId="2"/>
  </si>
  <si>
    <t>Japanese JA200 - Track 1  　　(Tue1,  Wed1,  Thu1)</t>
    <phoneticPr fontId="2"/>
  </si>
  <si>
    <t>Japanese JA200 - Track 2  　　(Tue1,  Wed1,  Thu1)</t>
    <phoneticPr fontId="2"/>
  </si>
  <si>
    <t>Japanese JA400 - Track 2  　　(Tue1,  Wed1,  Thu1)</t>
    <phoneticPr fontId="2"/>
  </si>
  <si>
    <t>Introduction to International Understanding</t>
  </si>
  <si>
    <t>Kiyoshi FUJITA</t>
  </si>
  <si>
    <t>言語コミュニケーションとパフォーマンス</t>
    <rPh sb="0" eb="2">
      <t>ゲンゴ</t>
    </rPh>
    <phoneticPr fontId="2"/>
  </si>
  <si>
    <t>中道　正之</t>
    <rPh sb="0" eb="2">
      <t>ナカミチ</t>
    </rPh>
    <rPh sb="3" eb="5">
      <t>マサユキ</t>
    </rPh>
    <phoneticPr fontId="2"/>
  </si>
  <si>
    <t>Kohei Adachi</t>
    <phoneticPr fontId="2"/>
  </si>
  <si>
    <t>西口　光一　</t>
    <phoneticPr fontId="2"/>
  </si>
  <si>
    <t>Suita</t>
  </si>
  <si>
    <t>Toyonaka</t>
  </si>
  <si>
    <t>Japanese JA100 - Track 3　　　(Tue2,  Wed1,  Thu1)</t>
    <phoneticPr fontId="2"/>
  </si>
  <si>
    <t>コンピュータを活用した語学学習</t>
  </si>
  <si>
    <t>魚崎　典子</t>
    <rPh sb="0" eb="2">
      <t>ウオサキ</t>
    </rPh>
    <rPh sb="3" eb="5">
      <t>ノリコ</t>
    </rPh>
    <phoneticPr fontId="22"/>
  </si>
  <si>
    <t>Computers in Language Learning</t>
  </si>
  <si>
    <t>Noriko UOSAKI</t>
  </si>
  <si>
    <t>Cybermedia Center, CALL Room No 1, B</t>
    <phoneticPr fontId="2"/>
  </si>
  <si>
    <t>総合日本語JA100-トラック1</t>
  </si>
  <si>
    <t>Japanese JA100 - Track 1</t>
  </si>
  <si>
    <t>総合日本語JA100-トラック2</t>
  </si>
  <si>
    <t>Japanese JA100 - Track 2</t>
  </si>
  <si>
    <t>総合日本語JA100-トラック3</t>
  </si>
  <si>
    <t>Japanese JA100 - Track 3</t>
  </si>
  <si>
    <t>総合日本語JA200-トラック1</t>
  </si>
  <si>
    <t>Japanese JA200 - Track 1</t>
  </si>
  <si>
    <t>総合日本語JA200-トラック2</t>
  </si>
  <si>
    <t>Japanese JA200 - Track 2</t>
  </si>
  <si>
    <t>総合日本語JA300-トラック1</t>
  </si>
  <si>
    <t>西口　光一　</t>
  </si>
  <si>
    <t>Japanese JA300 - Track 1</t>
  </si>
  <si>
    <t>総合日本語JA300-トラック2</t>
  </si>
  <si>
    <t>Japanese JA300 - Track 2</t>
  </si>
  <si>
    <t>総合日本語JA400-トラック1</t>
  </si>
  <si>
    <t>Japanese JA400 - Track 1</t>
  </si>
  <si>
    <t>総合日本語JA400-トラック2</t>
  </si>
  <si>
    <t>Japanese JA400 - Track 2</t>
  </si>
  <si>
    <t>総合日本語JA100-トラック4</t>
    <phoneticPr fontId="2"/>
  </si>
  <si>
    <t>Japanese JA100 - Track 4</t>
    <phoneticPr fontId="2"/>
  </si>
  <si>
    <t>日本語・グローバル理解演習JGU600b</t>
    <phoneticPr fontId="2"/>
  </si>
  <si>
    <t>Seminar in Japanese and Global Understanding JGU600b</t>
    <phoneticPr fontId="2"/>
  </si>
  <si>
    <t>Yozo Okazaki</t>
    <phoneticPr fontId="2"/>
  </si>
  <si>
    <t>Topics in Comparative Law</t>
  </si>
  <si>
    <t>移動の社会学</t>
    <rPh sb="0" eb="2">
      <t>イドウ</t>
    </rPh>
    <rPh sb="3" eb="6">
      <t>シャカイガク</t>
    </rPh>
    <phoneticPr fontId="2"/>
  </si>
  <si>
    <t>Sociology of Migration</t>
    <phoneticPr fontId="2"/>
  </si>
  <si>
    <t>Leonardo Ciano</t>
  </si>
  <si>
    <t xml:space="preserve">Special lecture (Topics in Comparative Contract and Torts Law） </t>
  </si>
  <si>
    <t>Media and Communications in Japan</t>
  </si>
  <si>
    <t>総合日本語JA100-トラック5</t>
    <phoneticPr fontId="2"/>
  </si>
  <si>
    <t>Japanese JA100 - Track 5</t>
    <phoneticPr fontId="2"/>
  </si>
  <si>
    <t>Seminar in Japanese and Global Understanding JGU600c</t>
    <phoneticPr fontId="2"/>
  </si>
  <si>
    <t>文化：その理解へのアプローチ</t>
    <rPh sb="0" eb="2">
      <t>ブンカ</t>
    </rPh>
    <rPh sb="5" eb="7">
      <t>リカイ</t>
    </rPh>
    <phoneticPr fontId="2"/>
  </si>
  <si>
    <t>有川　友子</t>
    <rPh sb="0" eb="2">
      <t>アリカワ</t>
    </rPh>
    <rPh sb="3" eb="5">
      <t>トモコ</t>
    </rPh>
    <phoneticPr fontId="2"/>
  </si>
  <si>
    <t>Approaches to Understanding Cultures</t>
  </si>
  <si>
    <t>Tomoko ARIKAWA</t>
  </si>
  <si>
    <t>Suita</t>
    <phoneticPr fontId="2"/>
  </si>
  <si>
    <t>メディア社会学</t>
    <rPh sb="4" eb="7">
      <t>シャカイガク</t>
    </rPh>
    <phoneticPr fontId="2"/>
  </si>
  <si>
    <t>Seminar Course for Intercultural Understanding</t>
    <phoneticPr fontId="2"/>
  </si>
  <si>
    <t>StudentID</t>
    <phoneticPr fontId="2"/>
  </si>
  <si>
    <t>総合日本語JA100-トラック1　</t>
    <phoneticPr fontId="2"/>
  </si>
  <si>
    <t>難波　康治　</t>
    <phoneticPr fontId="2"/>
  </si>
  <si>
    <t>Koji NAMBA</t>
    <phoneticPr fontId="2"/>
  </si>
  <si>
    <t xml:space="preserve">総合日本語JA100-トラック2 </t>
    <phoneticPr fontId="2"/>
  </si>
  <si>
    <t>総合日本語JA100-トラック4　</t>
    <phoneticPr fontId="2"/>
  </si>
  <si>
    <t>Japanese JA100 - Track 4　　　(Tue1,  Wed1,  Thu1)</t>
    <phoneticPr fontId="2"/>
  </si>
  <si>
    <t>＊Japanese JA100-Track 3 is opened on Tuesday 2nd period</t>
    <phoneticPr fontId="2"/>
  </si>
  <si>
    <t>IC ホール　講義室１</t>
    <rPh sb="7" eb="10">
      <t>コウギシツ</t>
    </rPh>
    <phoneticPr fontId="2"/>
  </si>
  <si>
    <t>Japanese JA100 - Track 5　　(Tue1,  Thu1, Fri1)</t>
    <phoneticPr fontId="2"/>
  </si>
  <si>
    <t>IC HALL Room 1</t>
  </si>
  <si>
    <t>Naoko FUKURA</t>
    <phoneticPr fontId="2"/>
  </si>
  <si>
    <t xml:space="preserve">総合日本語JA200-トラック2  </t>
    <phoneticPr fontId="2"/>
  </si>
  <si>
    <t xml:space="preserve">総合日本語JA300-トラック1 </t>
    <phoneticPr fontId="2"/>
  </si>
  <si>
    <t>住吉　秀紀　</t>
    <rPh sb="0" eb="2">
      <t>スミヨシ</t>
    </rPh>
    <rPh sb="3" eb="4">
      <t>ヒデ</t>
    </rPh>
    <rPh sb="4" eb="5">
      <t>オサム</t>
    </rPh>
    <phoneticPr fontId="2"/>
  </si>
  <si>
    <t>Japanese JA300 - Track 1  　　(Tue1,  Wed1,  Thu1)</t>
    <phoneticPr fontId="2"/>
  </si>
  <si>
    <t>Hideki SUMIYOSHI</t>
    <phoneticPr fontId="2"/>
  </si>
  <si>
    <t xml:space="preserve">総合日本語JA300-トラック2  </t>
    <phoneticPr fontId="2"/>
  </si>
  <si>
    <t>上田 安希子</t>
    <rPh sb="0" eb="2">
      <t>ウエダ</t>
    </rPh>
    <rPh sb="3" eb="4">
      <t>ヤス</t>
    </rPh>
    <rPh sb="4" eb="6">
      <t>キコ</t>
    </rPh>
    <phoneticPr fontId="2"/>
  </si>
  <si>
    <t>Japanese JA300 - Track 2  　　(Tue1,  Wed1,  Thu1)</t>
    <phoneticPr fontId="2"/>
  </si>
  <si>
    <t>Ａkiko UEDA</t>
    <phoneticPr fontId="2"/>
  </si>
  <si>
    <t>総合日本語JA400-トラック1</t>
    <phoneticPr fontId="2"/>
  </si>
  <si>
    <t>Japanese JA400 - Track 1  　　(Tue1,  Wed1,  Thu1)</t>
    <phoneticPr fontId="2"/>
  </si>
  <si>
    <t>Setsuko KAN</t>
    <phoneticPr fontId="2"/>
  </si>
  <si>
    <t xml:space="preserve">総合日本語JA400-トラック2  </t>
    <phoneticPr fontId="2"/>
  </si>
  <si>
    <t>矢部　正人　</t>
    <rPh sb="0" eb="2">
      <t>ヤベ</t>
    </rPh>
    <rPh sb="3" eb="5">
      <t>マサト</t>
    </rPh>
    <phoneticPr fontId="2"/>
  </si>
  <si>
    <t>全教  Ａ３０５</t>
    <phoneticPr fontId="2"/>
  </si>
  <si>
    <t>CELAS Ａ３０５</t>
    <phoneticPr fontId="2"/>
  </si>
  <si>
    <t>日本語・グローバル理解演習JGU500a</t>
    <phoneticPr fontId="2"/>
  </si>
  <si>
    <t>Seminar in Japanese and Global Understanding JGU500a</t>
    <phoneticPr fontId="2"/>
  </si>
  <si>
    <t>Shinya OTANI</t>
    <phoneticPr fontId="2"/>
  </si>
  <si>
    <t>日本語・グローバル理解演習JGU600a</t>
    <phoneticPr fontId="2"/>
  </si>
  <si>
    <t>岡崎　洋三　</t>
    <phoneticPr fontId="2"/>
  </si>
  <si>
    <t>全教  Ａ３０１</t>
    <phoneticPr fontId="2"/>
  </si>
  <si>
    <t>Seminar in Japanese and Global Understanding JGU600a</t>
    <phoneticPr fontId="2"/>
  </si>
  <si>
    <t>CELAS  Ａ３０１</t>
    <phoneticPr fontId="2"/>
  </si>
  <si>
    <t>日本における文化と言語の多様性</t>
    <phoneticPr fontId="2"/>
  </si>
  <si>
    <t>佐藤　廉也</t>
    <rPh sb="0" eb="2">
      <t>サトウ</t>
    </rPh>
    <rPh sb="3" eb="4">
      <t>カド</t>
    </rPh>
    <rPh sb="4" eb="5">
      <t>ヤ</t>
    </rPh>
    <phoneticPr fontId="2"/>
  </si>
  <si>
    <t>Cultural and Linguistic Diversity in Japan</t>
  </si>
  <si>
    <t>Ren'ya SATO</t>
  </si>
  <si>
    <r>
      <rPr>
        <b/>
        <sz val="7.5"/>
        <color rgb="FFFF0000"/>
        <rFont val="Arial"/>
        <family val="2"/>
      </rPr>
      <t>Class Not Offered</t>
    </r>
    <r>
      <rPr>
        <sz val="7.5"/>
        <rFont val="Arial"/>
        <family val="2"/>
      </rPr>
      <t xml:space="preserve">
</t>
    </r>
    <r>
      <rPr>
        <strike/>
        <sz val="7.5"/>
        <rFont val="Arial"/>
        <family val="2"/>
      </rPr>
      <t>881233</t>
    </r>
    <phoneticPr fontId="2"/>
  </si>
  <si>
    <t>総合日本語JA100-トラック3</t>
    <phoneticPr fontId="2"/>
  </si>
  <si>
    <t>日本法の諸問題</t>
    <phoneticPr fontId="2"/>
  </si>
  <si>
    <t>Elbalti Beligh</t>
    <phoneticPr fontId="2"/>
  </si>
  <si>
    <t>法学部</t>
    <rPh sb="0" eb="3">
      <t>ホウガクブ</t>
    </rPh>
    <phoneticPr fontId="2"/>
  </si>
  <si>
    <t>Topics in Japanese Law</t>
    <phoneticPr fontId="2"/>
  </si>
  <si>
    <t>School of law</t>
    <phoneticPr fontId="2"/>
  </si>
  <si>
    <t>ｽﾁｭｰﾃﾞﾝﾄｺﾓﾝｽﾞ/セミナー室Ｂ</t>
    <phoneticPr fontId="2"/>
  </si>
  <si>
    <t xml:space="preserve">Language　Communication and Performance 
</t>
    <phoneticPr fontId="2"/>
  </si>
  <si>
    <t>CELAS Student Commons Room B</t>
    <phoneticPr fontId="2"/>
  </si>
  <si>
    <t>サイバーCALL教室第１Ｂ教室</t>
    <rPh sb="8" eb="10">
      <t>キョウシツ</t>
    </rPh>
    <rPh sb="10" eb="11">
      <t>ダイ</t>
    </rPh>
    <rPh sb="13" eb="15">
      <t>キョウシツ</t>
    </rPh>
    <phoneticPr fontId="2"/>
  </si>
  <si>
    <t>ソーシャルイノベーションとソーシャルデザイン</t>
    <phoneticPr fontId="2"/>
  </si>
  <si>
    <t>近藤　佐知彦／三森　八重子</t>
    <rPh sb="0" eb="2">
      <t>コンドウ</t>
    </rPh>
    <rPh sb="3" eb="5">
      <t>サチ</t>
    </rPh>
    <rPh sb="5" eb="6">
      <t>ヒコ</t>
    </rPh>
    <rPh sb="7" eb="9">
      <t>ミツモリ</t>
    </rPh>
    <rPh sb="10" eb="13">
      <t>ヤエコ</t>
    </rPh>
    <phoneticPr fontId="2"/>
  </si>
  <si>
    <t>Social Innovation and Social Design</t>
    <phoneticPr fontId="2"/>
  </si>
  <si>
    <t>Sachohiko KONDO / Yaeko MITSUMORI</t>
    <phoneticPr fontId="2"/>
  </si>
  <si>
    <t>CELAS Student Commons Room B</t>
    <phoneticPr fontId="2"/>
  </si>
  <si>
    <t>Suita</t>
    <phoneticPr fontId="2"/>
  </si>
  <si>
    <t>社会学　</t>
    <phoneticPr fontId="2"/>
  </si>
  <si>
    <t>Christian Etzrodt</t>
    <phoneticPr fontId="2"/>
  </si>
  <si>
    <t>人科 31講義室</t>
    <rPh sb="0" eb="1">
      <t>ジン</t>
    </rPh>
    <rPh sb="1" eb="2">
      <t>カ</t>
    </rPh>
    <rPh sb="5" eb="8">
      <t>コウギシツ</t>
    </rPh>
    <phoneticPr fontId="2"/>
  </si>
  <si>
    <t>Sociological Theory</t>
    <phoneticPr fontId="2"/>
  </si>
  <si>
    <t>School of Human Sciences, Room31</t>
    <phoneticPr fontId="2"/>
  </si>
  <si>
    <r>
      <rPr>
        <b/>
        <sz val="7.5"/>
        <color rgb="FFFF0000"/>
        <rFont val="ＭＳ Ｐゴシック"/>
        <family val="3"/>
        <charset val="128"/>
      </rPr>
      <t>Class Not Offered</t>
    </r>
    <r>
      <rPr>
        <sz val="7.5"/>
        <rFont val="ＭＳ Ｐゴシック"/>
        <family val="3"/>
        <charset val="128"/>
      </rPr>
      <t xml:space="preserve">
</t>
    </r>
    <r>
      <rPr>
        <strike/>
        <sz val="7.5"/>
        <rFont val="ＭＳ Ｐゴシック"/>
        <family val="3"/>
        <charset val="128"/>
      </rPr>
      <t>881219</t>
    </r>
    <phoneticPr fontId="2"/>
  </si>
  <si>
    <t>国際理解入門</t>
    <rPh sb="0" eb="6">
      <t>コクサイリカイニュウモン</t>
    </rPh>
    <phoneticPr fontId="2"/>
  </si>
  <si>
    <t>藤田清士　他</t>
    <rPh sb="0" eb="2">
      <t>フジタ</t>
    </rPh>
    <rPh sb="2" eb="3">
      <t>キヨシ</t>
    </rPh>
    <rPh sb="3" eb="4">
      <t>シ</t>
    </rPh>
    <rPh sb="5" eb="6">
      <t>タ</t>
    </rPh>
    <phoneticPr fontId="2"/>
  </si>
  <si>
    <r>
      <rPr>
        <sz val="10"/>
        <rFont val="ＭＳ Ｐゴシック"/>
        <family val="3"/>
        <charset val="128"/>
      </rPr>
      <t>日本のサル学</t>
    </r>
    <rPh sb="0" eb="2">
      <t>ニホン</t>
    </rPh>
    <rPh sb="5" eb="6">
      <t>ガク</t>
    </rPh>
    <phoneticPr fontId="2"/>
  </si>
  <si>
    <t>人科　</t>
    <phoneticPr fontId="2"/>
  </si>
  <si>
    <t>Primatology in Japan</t>
    <phoneticPr fontId="2"/>
  </si>
  <si>
    <t>Masayuki Nakamichi</t>
    <phoneticPr fontId="2"/>
  </si>
  <si>
    <t xml:space="preserve">School of Human Sciences, </t>
    <phoneticPr fontId="2"/>
  </si>
  <si>
    <t>多変量統計科学</t>
    <rPh sb="0" eb="3">
      <t>タヘンリョウ</t>
    </rPh>
    <rPh sb="3" eb="5">
      <t>トウケイ</t>
    </rPh>
    <rPh sb="5" eb="7">
      <t>カガク</t>
    </rPh>
    <phoneticPr fontId="2"/>
  </si>
  <si>
    <r>
      <rPr>
        <sz val="10"/>
        <rFont val="ＭＳ Ｐゴシック"/>
        <family val="3"/>
        <charset val="128"/>
      </rPr>
      <t>足立　浩平</t>
    </r>
    <rPh sb="0" eb="2">
      <t>アダチ</t>
    </rPh>
    <rPh sb="3" eb="5">
      <t>コウヘイ</t>
    </rPh>
    <phoneticPr fontId="2"/>
  </si>
  <si>
    <t>Multivariate Statistical Science</t>
    <phoneticPr fontId="2"/>
  </si>
  <si>
    <t>Class Not Offered</t>
    <phoneticPr fontId="2"/>
  </si>
  <si>
    <t>Hideki SUMIYOSHI</t>
    <phoneticPr fontId="2"/>
  </si>
  <si>
    <t>全教　Ｃ１０４</t>
    <phoneticPr fontId="2"/>
  </si>
  <si>
    <t>CELAS  Ｃ１０4</t>
    <phoneticPr fontId="2"/>
  </si>
  <si>
    <t>半田　佳奈子　</t>
    <rPh sb="0" eb="2">
      <t>ハンダ</t>
    </rPh>
    <rPh sb="3" eb="6">
      <t>カナコ</t>
    </rPh>
    <phoneticPr fontId="2"/>
  </si>
  <si>
    <t>上田　安希子</t>
    <rPh sb="0" eb="2">
      <t>ウエダ</t>
    </rPh>
    <rPh sb="3" eb="4">
      <t>ヤス</t>
    </rPh>
    <rPh sb="4" eb="6">
      <t>キコ</t>
    </rPh>
    <phoneticPr fontId="2"/>
  </si>
  <si>
    <t>Akiko　UEDA</t>
    <phoneticPr fontId="2"/>
  </si>
  <si>
    <t>岡崎　洋三　</t>
    <rPh sb="0" eb="2">
      <t>オカザキ</t>
    </rPh>
    <rPh sb="3" eb="4">
      <t>ヨウ</t>
    </rPh>
    <rPh sb="4" eb="5">
      <t>サン</t>
    </rPh>
    <phoneticPr fontId="2"/>
  </si>
  <si>
    <t>全教　Ｃ１０７</t>
    <phoneticPr fontId="2"/>
  </si>
  <si>
    <t>CELAS　Ｃ１０７</t>
    <phoneticPr fontId="2"/>
  </si>
  <si>
    <t>Mioko YOSHINAGA</t>
    <phoneticPr fontId="2"/>
  </si>
  <si>
    <t>日本語・グローバル理解演習JGU500c</t>
    <phoneticPr fontId="2"/>
  </si>
  <si>
    <t>Seminar in Japanese and Global Understanding JGU500c</t>
    <phoneticPr fontId="2"/>
  </si>
  <si>
    <t>日本語・グローバル理解演習JGU600c</t>
    <phoneticPr fontId="2"/>
  </si>
  <si>
    <r>
      <t>小原　俊彦</t>
    </r>
    <r>
      <rPr>
        <b/>
        <sz val="9"/>
        <rFont val="MS UI Gothic"/>
        <family val="3"/>
        <charset val="128"/>
      </rPr>
      <t>　</t>
    </r>
    <phoneticPr fontId="2"/>
  </si>
  <si>
    <t>科学と社会</t>
    <phoneticPr fontId="2"/>
  </si>
  <si>
    <t>岡本　紗知</t>
    <phoneticPr fontId="2"/>
  </si>
  <si>
    <t>Science and Society</t>
    <phoneticPr fontId="2"/>
  </si>
  <si>
    <t>Sachi OKAMOTO</t>
    <phoneticPr fontId="2"/>
  </si>
  <si>
    <t>近代・現代日本文学</t>
    <phoneticPr fontId="2"/>
  </si>
  <si>
    <t>村上スミス・アンドリュー</t>
    <phoneticPr fontId="2"/>
  </si>
  <si>
    <t>Japanese Literature, Modern and Contemporary</t>
    <phoneticPr fontId="2"/>
  </si>
  <si>
    <t>Andrew MURAKAMI-SMITH</t>
    <phoneticPr fontId="2"/>
  </si>
  <si>
    <t>日本における多様性と人権</t>
    <phoneticPr fontId="2"/>
  </si>
  <si>
    <t>北山　夕華</t>
    <phoneticPr fontId="2"/>
  </si>
  <si>
    <t>Diversity and Human Rights in Japan</t>
    <phoneticPr fontId="2"/>
  </si>
  <si>
    <t>Yuka Kintayama</t>
    <phoneticPr fontId="2"/>
  </si>
  <si>
    <t>Japanese JA100 - Track 5</t>
    <phoneticPr fontId="2"/>
  </si>
  <si>
    <t>Norikazu URAKI</t>
    <phoneticPr fontId="2"/>
  </si>
  <si>
    <t>Viktoriya Kim</t>
    <phoneticPr fontId="2"/>
  </si>
  <si>
    <t>Media Sociology</t>
    <phoneticPr fontId="2"/>
  </si>
  <si>
    <t>Suita</t>
    <phoneticPr fontId="2"/>
  </si>
  <si>
    <t>材料化学入門</t>
    <phoneticPr fontId="2"/>
  </si>
  <si>
    <t>宇山　浩</t>
    <phoneticPr fontId="2"/>
  </si>
  <si>
    <t>C1-312講義室</t>
    <phoneticPr fontId="2"/>
  </si>
  <si>
    <t>Introduction to Materials Chemistry</t>
    <phoneticPr fontId="2"/>
  </si>
  <si>
    <t>Hiroshi UYAMA</t>
    <phoneticPr fontId="2"/>
  </si>
  <si>
    <t>2次元の幾何学</t>
    <rPh sb="1" eb="3">
      <t>ジゲン</t>
    </rPh>
    <rPh sb="4" eb="7">
      <t>キカガク</t>
    </rPh>
    <phoneticPr fontId="2"/>
  </si>
  <si>
    <t>馬場　伸平</t>
    <phoneticPr fontId="2"/>
  </si>
  <si>
    <t>理学部　B302</t>
    <phoneticPr fontId="2"/>
  </si>
  <si>
    <t>2-Dimensional Geometry</t>
  </si>
  <si>
    <t>Shinpei BABA</t>
    <phoneticPr fontId="2"/>
  </si>
  <si>
    <t>School of Science B302</t>
    <phoneticPr fontId="2"/>
  </si>
  <si>
    <t>先端物性物理学</t>
    <rPh sb="0" eb="4">
      <t xml:space="preserve">ブッセイブツリ </t>
    </rPh>
    <rPh sb="4" eb="5">
      <t xml:space="preserve">ガク </t>
    </rPh>
    <rPh sb="5" eb="7">
      <t xml:space="preserve">ニュウモン </t>
    </rPh>
    <phoneticPr fontId="2"/>
  </si>
  <si>
    <t>山本俊</t>
    <rPh sb="0" eb="2">
      <t xml:space="preserve">ヤマモト </t>
    </rPh>
    <rPh sb="2" eb="3">
      <t xml:space="preserve">タカシ </t>
    </rPh>
    <phoneticPr fontId="2"/>
  </si>
  <si>
    <t>基礎工学部　A403</t>
    <rPh sb="0" eb="2">
      <t>キソ</t>
    </rPh>
    <rPh sb="2" eb="3">
      <t>コウ</t>
    </rPh>
    <rPh sb="3" eb="5">
      <t>ガクブ</t>
    </rPh>
    <phoneticPr fontId="2"/>
  </si>
  <si>
    <t xml:space="preserve">Frontiers of Materials Physics </t>
    <phoneticPr fontId="2"/>
  </si>
  <si>
    <t>Takashi Yamamoto</t>
    <phoneticPr fontId="2"/>
  </si>
  <si>
    <t>School of Engineering Science A403</t>
    <phoneticPr fontId="2"/>
  </si>
  <si>
    <t>Minoh</t>
    <phoneticPr fontId="2"/>
  </si>
  <si>
    <t>筒井　佐代</t>
    <rPh sb="0" eb="2">
      <t>ツツイ</t>
    </rPh>
    <rPh sb="3" eb="4">
      <t>タスク</t>
    </rPh>
    <rPh sb="4" eb="5">
      <t>ダイ</t>
    </rPh>
    <phoneticPr fontId="2"/>
  </si>
  <si>
    <t>箕面　Ａ101
School of Foreign Studies</t>
    <rPh sb="0" eb="2">
      <t>ミノオ</t>
    </rPh>
    <phoneticPr fontId="2"/>
  </si>
  <si>
    <t>地球総合工学入門 - 持続可能な開発における地球総合工学の役割 -</t>
    <phoneticPr fontId="2"/>
  </si>
  <si>
    <t>入江　政安</t>
    <rPh sb="0" eb="2">
      <t>イリエ</t>
    </rPh>
    <rPh sb="3" eb="5">
      <t>マサヤス</t>
    </rPh>
    <phoneticPr fontId="2"/>
  </si>
  <si>
    <t xml:space="preserve">S1-513 </t>
    <phoneticPr fontId="2"/>
  </si>
  <si>
    <t xml:space="preserve">Role of Global Architecture in Sustainable Development </t>
    <phoneticPr fontId="2"/>
  </si>
  <si>
    <t>Masayasu IRIE</t>
    <phoneticPr fontId="2"/>
  </si>
  <si>
    <t>岡田　亜矢子　</t>
    <rPh sb="0" eb="2">
      <t>オカダ</t>
    </rPh>
    <rPh sb="3" eb="6">
      <t>アヤコ</t>
    </rPh>
    <phoneticPr fontId="2"/>
  </si>
  <si>
    <t>Ayako OKADA</t>
    <phoneticPr fontId="2"/>
  </si>
  <si>
    <t>花井　理香　</t>
    <rPh sb="0" eb="1">
      <t>ハナ</t>
    </rPh>
    <rPh sb="3" eb="4">
      <t>リ</t>
    </rPh>
    <rPh sb="4" eb="5">
      <t>カオリ</t>
    </rPh>
    <phoneticPr fontId="2"/>
  </si>
  <si>
    <t>上仲　淳　</t>
    <rPh sb="0" eb="1">
      <t>ウエ</t>
    </rPh>
    <rPh sb="1" eb="2">
      <t>ナカ</t>
    </rPh>
    <rPh sb="3" eb="4">
      <t>ジュン</t>
    </rPh>
    <phoneticPr fontId="2"/>
  </si>
  <si>
    <t>小原　俊彦　</t>
    <rPh sb="0" eb="2">
      <t>オハラ</t>
    </rPh>
    <rPh sb="3" eb="5">
      <t>トシヒコ</t>
    </rPh>
    <phoneticPr fontId="2"/>
  </si>
  <si>
    <t>全教  Ｃ１０７</t>
    <phoneticPr fontId="2"/>
  </si>
  <si>
    <t>CELAS  Ｃ１０７</t>
    <phoneticPr fontId="2"/>
  </si>
  <si>
    <t>日本語・グローバル理解演習JGU500b</t>
    <phoneticPr fontId="2"/>
  </si>
  <si>
    <t>藤澤　好恵　</t>
    <rPh sb="0" eb="2">
      <t>フジサワ</t>
    </rPh>
    <rPh sb="3" eb="4">
      <t>ス</t>
    </rPh>
    <phoneticPr fontId="2"/>
  </si>
  <si>
    <t>Seminar in Japanese and Global Understanding JGU500b</t>
    <phoneticPr fontId="2"/>
  </si>
  <si>
    <t>Viktoriya Kim</t>
    <phoneticPr fontId="2"/>
  </si>
  <si>
    <t>比較法の諸問題</t>
    <phoneticPr fontId="2"/>
  </si>
  <si>
    <t>特別講義（比較契約法・不法行為法の諸問題）</t>
    <phoneticPr fontId="2"/>
  </si>
  <si>
    <t>異文化コミュニケーション入門〜異文化を理解するためのストラテジー〜</t>
    <phoneticPr fontId="2"/>
  </si>
  <si>
    <t>石倉佑季子</t>
    <phoneticPr fontId="2"/>
  </si>
  <si>
    <t xml:space="preserve">Introduction to Intercultural Communication- Strategies for Intercultural Learning- </t>
    <phoneticPr fontId="2"/>
  </si>
  <si>
    <t xml:space="preserve">Yukiko ISHIKURA </t>
    <phoneticPr fontId="2"/>
  </si>
  <si>
    <t>日本のメディアとコミュニケーション</t>
    <phoneticPr fontId="2"/>
  </si>
  <si>
    <t>近藤　佐知彦</t>
    <phoneticPr fontId="2"/>
  </si>
  <si>
    <t>全教  Ｃ４０６</t>
    <rPh sb="0" eb="2">
      <t>ゼンキョウキョウ</t>
    </rPh>
    <phoneticPr fontId="2"/>
  </si>
  <si>
    <t>CELAS  Ｃ４０６</t>
    <phoneticPr fontId="2"/>
  </si>
  <si>
    <t>-</t>
  </si>
  <si>
    <r>
      <t>令和</t>
    </r>
    <r>
      <rPr>
        <b/>
        <sz val="18"/>
        <rFont val="Arial Rounded MT Bold"/>
        <family val="2"/>
      </rPr>
      <t>2</t>
    </r>
    <r>
      <rPr>
        <b/>
        <sz val="18"/>
        <rFont val="ＭＳ Ｐゴシック"/>
        <family val="3"/>
        <charset val="128"/>
      </rPr>
      <t>年度</t>
    </r>
    <r>
      <rPr>
        <b/>
        <sz val="18"/>
        <rFont val="Arial Rounded MT Bold"/>
        <family val="2"/>
      </rPr>
      <t xml:space="preserve"> </t>
    </r>
    <r>
      <rPr>
        <b/>
        <sz val="18"/>
        <rFont val="ＭＳ Ｐゴシック"/>
        <family val="3"/>
        <charset val="128"/>
      </rPr>
      <t>秋・冬</t>
    </r>
    <r>
      <rPr>
        <b/>
        <sz val="18"/>
        <rFont val="Arial Rounded MT Bold"/>
        <family val="2"/>
      </rPr>
      <t xml:space="preserve"> </t>
    </r>
    <r>
      <rPr>
        <b/>
        <sz val="18"/>
        <rFont val="ＭＳ Ｐゴシック"/>
        <family val="3"/>
        <charset val="128"/>
      </rPr>
      <t>学期</t>
    </r>
    <r>
      <rPr>
        <b/>
        <sz val="18"/>
        <rFont val="Arial Rounded MT Bold"/>
        <family val="2"/>
      </rPr>
      <t xml:space="preserve">   </t>
    </r>
    <r>
      <rPr>
        <b/>
        <sz val="18"/>
        <rFont val="ＭＳ Ｐゴシック"/>
        <family val="3"/>
        <charset val="128"/>
      </rPr>
      <t xml:space="preserve">国際交流科目授業時間割
</t>
    </r>
    <r>
      <rPr>
        <b/>
        <sz val="18"/>
        <rFont val="Arial Rounded MT Bold"/>
        <family val="2"/>
      </rPr>
      <t>International Exchange Subjects Timetable for the Fall/Winter Semester, 2020</t>
    </r>
    <rPh sb="0" eb="2">
      <t>レイワ</t>
    </rPh>
    <rPh sb="6" eb="7">
      <t>アキ</t>
    </rPh>
    <rPh sb="8" eb="9">
      <t>フユ</t>
    </rPh>
    <phoneticPr fontId="2"/>
  </si>
  <si>
    <t>UC Frontier Science</t>
    <phoneticPr fontId="2"/>
  </si>
  <si>
    <t>John Ino</t>
    <phoneticPr fontId="2"/>
  </si>
  <si>
    <t>【※first week of every month from October to February (Wed2, Thu1, Thu2)】</t>
    <phoneticPr fontId="2"/>
  </si>
  <si>
    <t>UC Frontier Science</t>
    <phoneticPr fontId="2"/>
  </si>
  <si>
    <t>John Ino</t>
    <phoneticPr fontId="2"/>
  </si>
  <si>
    <t>【※first week of every month from October to February (Wed2, Thu1, Thu2)】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</si>
</sst>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5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b/>
      <sz val="18"/>
      <name val="ＭＳ Ｐゴシック"/>
      <family val="3"/>
      <charset val="128"/>
    </font>
    <font>
      <b/>
      <sz val="18"/>
      <name val="Arial Rounded MT Bold"/>
      <family val="2"/>
    </font>
    <font>
      <sz val="8"/>
      <color rgb="FFFF0000"/>
      <name val="ＭＳ Ｐゴシック"/>
      <family val="3"/>
      <charset val="128"/>
    </font>
    <font>
      <sz val="9"/>
      <color theme="0" tint="-4.9989318521683403E-2"/>
      <name val="ＭＳ Ｐゴシック"/>
      <family val="3"/>
      <charset val="128"/>
    </font>
    <font>
      <strike/>
      <sz val="9"/>
      <name val="ＭＳ Ｐゴシック"/>
      <family val="3"/>
      <charset val="128"/>
    </font>
    <font>
      <sz val="16"/>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u/>
      <sz val="11"/>
      <color indexed="12"/>
      <name val="ＭＳ Ｐゴシック"/>
      <family val="3"/>
      <charset val="128"/>
    </font>
    <font>
      <sz val="9"/>
      <color rgb="FFFF0000"/>
      <name val="ＭＳ Ｐゴシック"/>
      <family val="3"/>
      <charset val="128"/>
    </font>
    <font>
      <sz val="9"/>
      <name val="MS UI Gothic"/>
      <family val="3"/>
      <charset val="128"/>
    </font>
    <font>
      <b/>
      <sz val="9"/>
      <name val="ＭＳ Ｐゴシック"/>
      <family val="3"/>
      <charset val="128"/>
    </font>
    <font>
      <b/>
      <strike/>
      <sz val="9"/>
      <name val="ＭＳ Ｐゴシック"/>
      <family val="3"/>
      <charset val="128"/>
    </font>
    <font>
      <sz val="7.5"/>
      <name val="Arial"/>
      <family val="2"/>
    </font>
    <font>
      <b/>
      <sz val="7.5"/>
      <color rgb="FFFF0000"/>
      <name val="Arial"/>
      <family val="2"/>
    </font>
    <font>
      <strike/>
      <sz val="7.5"/>
      <name val="Arial"/>
      <family val="2"/>
    </font>
    <font>
      <sz val="10"/>
      <name val="Arial Unicode MS"/>
      <family val="3"/>
      <charset val="128"/>
    </font>
    <font>
      <sz val="10"/>
      <name val="ＭＳ Ｐゴシック"/>
      <family val="3"/>
      <charset val="128"/>
    </font>
    <font>
      <sz val="10"/>
      <name val="Arial"/>
      <family val="2"/>
    </font>
    <font>
      <b/>
      <sz val="7.5"/>
      <color rgb="FFFF0000"/>
      <name val="ＭＳ Ｐゴシック"/>
      <family val="3"/>
      <charset val="128"/>
    </font>
    <font>
      <sz val="7.5"/>
      <name val="ＭＳ Ｐゴシック"/>
      <family val="3"/>
      <charset val="128"/>
    </font>
    <font>
      <strike/>
      <sz val="7.5"/>
      <name val="ＭＳ Ｐゴシック"/>
      <family val="3"/>
      <charset val="128"/>
    </font>
    <font>
      <strike/>
      <sz val="9"/>
      <name val="游ゴシック Light"/>
      <family val="3"/>
      <charset val="128"/>
    </font>
    <font>
      <strike/>
      <sz val="11"/>
      <name val="游ゴシック Light"/>
      <family val="3"/>
      <charset val="128"/>
    </font>
    <font>
      <b/>
      <sz val="9"/>
      <name val="MS UI Gothic"/>
      <family val="3"/>
      <charset val="128"/>
    </font>
    <font>
      <b/>
      <sz val="9"/>
      <color rgb="FFFF0000"/>
      <name val="ＭＳ Ｐゴシック"/>
      <family val="3"/>
      <charset val="128"/>
    </font>
    <font>
      <sz val="9"/>
      <color theme="0"/>
      <name val="ＭＳ Ｐゴシック"/>
      <family val="3"/>
      <charset val="128"/>
    </font>
    <font>
      <sz val="9"/>
      <color theme="0" tint="-0.34998626667073579"/>
      <name val="ＭＳ Ｐゴシック"/>
      <family val="3"/>
      <charset val="128"/>
    </font>
    <font>
      <b/>
      <sz val="8"/>
      <color rgb="FFFF0000"/>
      <name val="Arial"/>
      <family val="2"/>
    </font>
    <font>
      <sz val="11"/>
      <name val="Meiryo UI"/>
      <family val="3"/>
      <charset val="128"/>
    </font>
  </fonts>
  <fills count="29">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theme="5" tint="0.79998168889431442"/>
        <bgColor indexed="64"/>
      </patternFill>
    </fill>
    <fill>
      <patternFill patternType="solid">
        <fgColor theme="9"/>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CFF"/>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thin">
        <color auto="1"/>
      </top>
      <bottom style="medium">
        <color auto="1"/>
      </bottom>
      <diagonal/>
    </border>
    <border>
      <left/>
      <right/>
      <top/>
      <bottom style="medium">
        <color indexed="64"/>
      </bottom>
      <diagonal/>
    </border>
    <border>
      <left/>
      <right style="thin">
        <color auto="1"/>
      </right>
      <top style="medium">
        <color auto="1"/>
      </top>
      <bottom style="medium">
        <color auto="1"/>
      </bottom>
      <diagonal/>
    </border>
    <border>
      <left style="thin">
        <color indexed="64"/>
      </left>
      <right/>
      <top/>
      <bottom style="medium">
        <color indexed="64"/>
      </bottom>
      <diagonal/>
    </border>
    <border>
      <left style="thin">
        <color auto="1"/>
      </left>
      <right/>
      <top style="medium">
        <color auto="1"/>
      </top>
      <bottom/>
      <diagonal/>
    </border>
    <border>
      <left style="medium">
        <color auto="1"/>
      </left>
      <right style="medium">
        <color indexed="64"/>
      </right>
      <top style="thin">
        <color auto="1"/>
      </top>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indexed="64"/>
      </bottom>
      <diagonal/>
    </border>
    <border>
      <left/>
      <right style="thin">
        <color indexed="64"/>
      </right>
      <top/>
      <bottom/>
      <diagonal/>
    </border>
    <border>
      <left/>
      <right style="thin">
        <color auto="1"/>
      </right>
      <top style="medium">
        <color auto="1"/>
      </top>
      <bottom/>
      <diagonal/>
    </border>
    <border>
      <left style="medium">
        <color indexed="64"/>
      </left>
      <right style="medium">
        <color indexed="64"/>
      </right>
      <top style="medium">
        <color indexed="64"/>
      </top>
      <bottom style="thin">
        <color auto="1"/>
      </bottom>
      <diagonal/>
    </border>
    <border>
      <left style="thin">
        <color theme="0"/>
      </left>
      <right style="thin">
        <color theme="0"/>
      </right>
      <top style="thin">
        <color theme="0"/>
      </top>
      <bottom style="thin">
        <color theme="0"/>
      </bottom>
      <diagonal/>
    </border>
    <border>
      <left/>
      <right style="medium">
        <color indexed="64"/>
      </right>
      <top style="medium">
        <color indexed="64"/>
      </top>
      <bottom/>
      <diagonal/>
    </border>
    <border diagonalUp="1">
      <left style="thin">
        <color auto="1"/>
      </left>
      <right style="thin">
        <color auto="1"/>
      </right>
      <top style="medium">
        <color auto="1"/>
      </top>
      <bottom/>
      <diagonal style="hair">
        <color auto="1"/>
      </diagonal>
    </border>
    <border diagonalUp="1">
      <left style="thin">
        <color auto="1"/>
      </left>
      <right style="thin">
        <color auto="1"/>
      </right>
      <top/>
      <bottom style="thin">
        <color auto="1"/>
      </bottom>
      <diagonal style="hair">
        <color auto="1"/>
      </diagonal>
    </border>
    <border diagonalUp="1">
      <left style="thin">
        <color auto="1"/>
      </left>
      <right style="thin">
        <color auto="1"/>
      </right>
      <top style="thin">
        <color auto="1"/>
      </top>
      <bottom/>
      <diagonal style="hair">
        <color auto="1"/>
      </diagonal>
    </border>
    <border>
      <left style="thin">
        <color auto="1"/>
      </left>
      <right/>
      <top style="thin">
        <color indexed="64"/>
      </top>
      <bottom style="medium">
        <color indexed="64"/>
      </bottom>
      <diagonal/>
    </border>
    <border>
      <left style="medium">
        <color auto="1"/>
      </left>
      <right style="thin">
        <color auto="1"/>
      </right>
      <top style="thin">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indexed="64"/>
      </bottom>
      <diagonal/>
    </border>
    <border>
      <left/>
      <right/>
      <top/>
      <bottom style="medium">
        <color auto="1"/>
      </bottom>
      <diagonal/>
    </border>
    <border diagonalUp="1">
      <left/>
      <right style="thin">
        <color auto="1"/>
      </right>
      <top style="thin">
        <color auto="1"/>
      </top>
      <bottom/>
      <diagonal style="hair">
        <color auto="1"/>
      </diagonal>
    </border>
    <border diagonalUp="1">
      <left/>
      <right style="thin">
        <color auto="1"/>
      </right>
      <top/>
      <bottom style="thin">
        <color auto="1"/>
      </bottom>
      <diagonal style="hair">
        <color auto="1"/>
      </diagonal>
    </border>
    <border>
      <left/>
      <right style="thin">
        <color auto="1"/>
      </right>
      <top style="medium">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auto="1"/>
      </bottom>
      <diagonal/>
    </border>
    <border>
      <left style="medium">
        <color indexed="64"/>
      </left>
      <right/>
      <top style="medium">
        <color indexed="64"/>
      </top>
      <bottom style="thin">
        <color auto="1"/>
      </bottom>
      <diagonal/>
    </border>
    <border>
      <left style="medium">
        <color auto="1"/>
      </left>
      <right/>
      <top style="thin">
        <color auto="1"/>
      </top>
      <bottom style="thin">
        <color indexed="64"/>
      </bottom>
      <diagonal/>
    </border>
    <border>
      <left style="medium">
        <color indexed="64"/>
      </left>
      <right/>
      <top style="thin">
        <color auto="1"/>
      </top>
      <bottom style="medium">
        <color indexed="64"/>
      </bottom>
      <diagonal/>
    </border>
    <border>
      <left/>
      <right style="medium">
        <color indexed="64"/>
      </right>
      <top style="medium">
        <color indexed="64"/>
      </top>
      <bottom style="thin">
        <color auto="1"/>
      </bottom>
      <diagonal/>
    </border>
    <border>
      <left/>
      <right style="medium">
        <color auto="1"/>
      </right>
      <top style="thin">
        <color auto="1"/>
      </top>
      <bottom style="thin">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top style="medium">
        <color indexed="64"/>
      </top>
      <bottom/>
      <diagonal/>
    </border>
    <border>
      <left/>
      <right/>
      <top/>
      <bottom style="thin">
        <color auto="1"/>
      </bottom>
      <diagonal/>
    </border>
    <border>
      <left/>
      <right/>
      <top style="thin">
        <color auto="1"/>
      </top>
      <bottom/>
      <diagonal/>
    </border>
    <border diagonalUp="1">
      <left style="thin">
        <color auto="1"/>
      </left>
      <right/>
      <top style="thin">
        <color auto="1"/>
      </top>
      <bottom/>
      <diagonal style="hair">
        <color auto="1"/>
      </diagonal>
    </border>
    <border diagonalUp="1">
      <left style="thin">
        <color auto="1"/>
      </left>
      <right/>
      <top/>
      <bottom style="thin">
        <color auto="1"/>
      </bottom>
      <diagonal style="hair">
        <color auto="1"/>
      </diagonal>
    </border>
    <border>
      <left style="medium">
        <color indexed="64"/>
      </left>
      <right style="medium">
        <color indexed="64"/>
      </right>
      <top style="thin">
        <color auto="1"/>
      </top>
      <bottom style="thin">
        <color auto="1"/>
      </bottom>
      <diagonal/>
    </border>
    <border>
      <left style="medium">
        <color auto="1"/>
      </left>
      <right style="thin">
        <color auto="1"/>
      </right>
      <top/>
      <bottom style="medium">
        <color auto="1"/>
      </bottom>
      <diagonal/>
    </border>
    <border>
      <left style="medium">
        <color indexed="64"/>
      </left>
      <right style="medium">
        <color indexed="64"/>
      </right>
      <top style="thin">
        <color auto="1"/>
      </top>
      <bottom style="medium">
        <color indexed="64"/>
      </bottom>
      <diagonal/>
    </border>
    <border diagonalUp="1">
      <left style="thin">
        <color auto="1"/>
      </left>
      <right style="thin">
        <color auto="1"/>
      </right>
      <top/>
      <bottom/>
      <diagonal style="hair">
        <color auto="1"/>
      </diagonal>
    </border>
    <border>
      <left style="medium">
        <color auto="1"/>
      </left>
      <right/>
      <top/>
      <bottom/>
      <diagonal/>
    </border>
    <border>
      <left style="thin">
        <color auto="1"/>
      </left>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medium">
        <color indexed="64"/>
      </left>
      <right/>
      <top/>
      <bottom style="thin">
        <color auto="1"/>
      </bottom>
      <diagonal/>
    </border>
  </borders>
  <cellStyleXfs count="280">
    <xf numFmtId="0" fontId="0"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 fillId="0" borderId="0"/>
    <xf numFmtId="0" fontId="31"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6" borderId="91" applyNumberFormat="0" applyFont="0" applyAlignment="0" applyProtection="0">
      <alignment vertical="center"/>
    </xf>
    <xf numFmtId="0" fontId="1" fillId="6" borderId="91" applyNumberFormat="0" applyFont="0" applyAlignment="0" applyProtection="0">
      <alignment vertical="center"/>
    </xf>
    <xf numFmtId="0" fontId="1" fillId="6" borderId="91" applyNumberFormat="0" applyFont="0" applyAlignment="0" applyProtection="0">
      <alignment vertical="center"/>
    </xf>
    <xf numFmtId="0" fontId="1" fillId="6" borderId="91" applyNumberFormat="0" applyFont="0" applyAlignment="0" applyProtection="0">
      <alignment vertical="center"/>
    </xf>
    <xf numFmtId="0" fontId="1" fillId="6" borderId="91" applyNumberFormat="0" applyFont="0" applyAlignment="0" applyProtection="0">
      <alignment vertical="center"/>
    </xf>
    <xf numFmtId="0" fontId="1" fillId="6" borderId="91" applyNumberFormat="0" applyFont="0" applyAlignment="0" applyProtection="0">
      <alignment vertical="center"/>
    </xf>
    <xf numFmtId="0" fontId="11" fillId="2" borderId="92" applyNumberFormat="0" applyAlignment="0" applyProtection="0">
      <alignment vertical="center"/>
    </xf>
    <xf numFmtId="0" fontId="11" fillId="2" borderId="92" applyNumberFormat="0" applyAlignment="0" applyProtection="0">
      <alignment vertical="center"/>
    </xf>
    <xf numFmtId="0" fontId="11" fillId="2" borderId="92" applyNumberFormat="0" applyAlignment="0" applyProtection="0">
      <alignment vertical="center"/>
    </xf>
    <xf numFmtId="0" fontId="11" fillId="2" borderId="92" applyNumberFormat="0" applyAlignment="0" applyProtection="0">
      <alignment vertical="center"/>
    </xf>
    <xf numFmtId="0" fontId="11" fillId="2" borderId="92" applyNumberFormat="0" applyAlignment="0" applyProtection="0">
      <alignment vertical="center"/>
    </xf>
    <xf numFmtId="0" fontId="11" fillId="2" borderId="92" applyNumberFormat="0" applyAlignment="0" applyProtection="0">
      <alignment vertical="center"/>
    </xf>
    <xf numFmtId="0" fontId="16" fillId="0" borderId="93" applyNumberFormat="0" applyFill="0" applyAlignment="0" applyProtection="0">
      <alignment vertical="center"/>
    </xf>
    <xf numFmtId="0" fontId="16" fillId="0" borderId="93" applyNumberFormat="0" applyFill="0" applyAlignment="0" applyProtection="0">
      <alignment vertical="center"/>
    </xf>
    <xf numFmtId="0" fontId="16" fillId="0" borderId="93" applyNumberFormat="0" applyFill="0" applyAlignment="0" applyProtection="0">
      <alignment vertical="center"/>
    </xf>
    <xf numFmtId="0" fontId="16" fillId="0" borderId="93" applyNumberFormat="0" applyFill="0" applyAlignment="0" applyProtection="0">
      <alignment vertical="center"/>
    </xf>
    <xf numFmtId="0" fontId="16" fillId="0" borderId="93" applyNumberFormat="0" applyFill="0" applyAlignment="0" applyProtection="0">
      <alignment vertical="center"/>
    </xf>
    <xf numFmtId="0" fontId="16" fillId="0" borderId="93" applyNumberFormat="0" applyFill="0" applyAlignment="0" applyProtection="0">
      <alignment vertical="center"/>
    </xf>
    <xf numFmtId="0" fontId="17" fillId="2" borderId="94" applyNumberFormat="0" applyAlignment="0" applyProtection="0">
      <alignment vertical="center"/>
    </xf>
    <xf numFmtId="0" fontId="17" fillId="2" borderId="94" applyNumberFormat="0" applyAlignment="0" applyProtection="0">
      <alignment vertical="center"/>
    </xf>
    <xf numFmtId="0" fontId="17" fillId="2" borderId="94" applyNumberFormat="0" applyAlignment="0" applyProtection="0">
      <alignment vertical="center"/>
    </xf>
    <xf numFmtId="0" fontId="17" fillId="2" borderId="94" applyNumberFormat="0" applyAlignment="0" applyProtection="0">
      <alignment vertical="center"/>
    </xf>
    <xf numFmtId="0" fontId="17" fillId="2" borderId="94" applyNumberFormat="0" applyAlignment="0" applyProtection="0">
      <alignment vertical="center"/>
    </xf>
    <xf numFmtId="0" fontId="17" fillId="2" borderId="94" applyNumberFormat="0" applyAlignment="0" applyProtection="0">
      <alignment vertical="center"/>
    </xf>
    <xf numFmtId="0" fontId="19" fillId="4" borderId="92" applyNumberFormat="0" applyAlignment="0" applyProtection="0">
      <alignment vertical="center"/>
    </xf>
    <xf numFmtId="0" fontId="19" fillId="4" borderId="92" applyNumberFormat="0" applyAlignment="0" applyProtection="0">
      <alignment vertical="center"/>
    </xf>
    <xf numFmtId="0" fontId="19" fillId="4" borderId="92" applyNumberFormat="0" applyAlignment="0" applyProtection="0">
      <alignment vertical="center"/>
    </xf>
    <xf numFmtId="0" fontId="19" fillId="4" borderId="92" applyNumberFormat="0" applyAlignment="0" applyProtection="0">
      <alignment vertical="center"/>
    </xf>
    <xf numFmtId="0" fontId="19" fillId="4" borderId="92" applyNumberFormat="0" applyAlignment="0" applyProtection="0">
      <alignment vertical="center"/>
    </xf>
    <xf numFmtId="0" fontId="19" fillId="4" borderId="92" applyNumberFormat="0" applyAlignment="0" applyProtection="0">
      <alignment vertical="center"/>
    </xf>
  </cellStyleXfs>
  <cellXfs count="471">
    <xf numFmtId="0" fontId="0" fillId="0" borderId="0" xfId="0"/>
    <xf numFmtId="0" fontId="3" fillId="0" borderId="0" xfId="0" applyFont="1" applyFill="1" applyBorder="1" applyAlignment="1">
      <alignment horizontal="left" vertical="center" wrapText="1"/>
    </xf>
    <xf numFmtId="0" fontId="0" fillId="0" borderId="0" xfId="0" applyFont="1" applyAlignment="1">
      <alignment wrapText="1"/>
    </xf>
    <xf numFmtId="0" fontId="3" fillId="17" borderId="14" xfId="0" applyFont="1" applyFill="1" applyBorder="1" applyAlignment="1">
      <alignment horizontal="center" vertical="center" wrapText="1"/>
    </xf>
    <xf numFmtId="0" fontId="3" fillId="0" borderId="0" xfId="0" applyFont="1" applyAlignment="1">
      <alignment horizontal="center" vertical="center" wrapText="1"/>
    </xf>
    <xf numFmtId="49" fontId="3" fillId="17" borderId="15" xfId="0" applyNumberFormat="1" applyFont="1" applyFill="1" applyBorder="1" applyAlignment="1">
      <alignment horizontal="center" vertical="center" wrapText="1"/>
    </xf>
    <xf numFmtId="0" fontId="3" fillId="0" borderId="17" xfId="0" applyFont="1" applyFill="1" applyBorder="1" applyAlignment="1">
      <alignment horizontal="left" vertical="top" wrapText="1" shrinkToFit="1"/>
    </xf>
    <xf numFmtId="0" fontId="3" fillId="0" borderId="0" xfId="0" applyFont="1" applyFill="1" applyAlignment="1">
      <alignment wrapText="1"/>
    </xf>
    <xf numFmtId="0" fontId="3" fillId="0" borderId="12" xfId="0" applyFont="1" applyFill="1" applyBorder="1" applyAlignment="1">
      <alignment vertical="top" wrapText="1"/>
    </xf>
    <xf numFmtId="0" fontId="3" fillId="0" borderId="12" xfId="0" applyFont="1" applyFill="1" applyBorder="1" applyAlignment="1">
      <alignment vertical="top" shrinkToFit="1"/>
    </xf>
    <xf numFmtId="0" fontId="3" fillId="0" borderId="0" xfId="0" applyFont="1" applyFill="1" applyAlignment="1">
      <alignment vertical="top" wrapText="1"/>
    </xf>
    <xf numFmtId="0" fontId="3" fillId="0" borderId="12" xfId="0" applyFont="1" applyFill="1" applyBorder="1" applyAlignment="1">
      <alignment horizontal="left" vertical="top" wrapText="1"/>
    </xf>
    <xf numFmtId="0" fontId="3" fillId="0" borderId="12" xfId="0" applyFont="1" applyFill="1" applyBorder="1" applyAlignment="1">
      <alignment horizontal="left" vertical="top" shrinkToFit="1"/>
    </xf>
    <xf numFmtId="0" fontId="3" fillId="0" borderId="13" xfId="0" applyFont="1" applyFill="1" applyBorder="1" applyAlignment="1">
      <alignment vertical="top" wrapText="1"/>
    </xf>
    <xf numFmtId="0" fontId="3" fillId="0" borderId="13" xfId="0" applyFont="1" applyFill="1" applyBorder="1" applyAlignment="1">
      <alignment vertical="top" shrinkToFit="1"/>
    </xf>
    <xf numFmtId="0" fontId="3" fillId="0" borderId="17"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vertical="top" shrinkToFit="1"/>
    </xf>
    <xf numFmtId="22" fontId="3" fillId="0" borderId="0" xfId="0" applyNumberFormat="1"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Alignment="1">
      <alignment horizontal="center" vertical="center" shrinkToFit="1"/>
    </xf>
    <xf numFmtId="0" fontId="3" fillId="0" borderId="0" xfId="0" applyFont="1" applyAlignment="1">
      <alignment wrapText="1"/>
    </xf>
    <xf numFmtId="0" fontId="3" fillId="0" borderId="0" xfId="0" applyFont="1" applyAlignment="1">
      <alignment shrinkToFit="1"/>
    </xf>
    <xf numFmtId="0" fontId="0" fillId="0" borderId="0" xfId="0" applyFont="1" applyAlignment="1">
      <alignment shrinkToFit="1"/>
    </xf>
    <xf numFmtId="0" fontId="3" fillId="0" borderId="17" xfId="0" applyFont="1" applyFill="1" applyBorder="1" applyAlignment="1">
      <alignment vertical="top" shrinkToFit="1"/>
    </xf>
    <xf numFmtId="0" fontId="3" fillId="0" borderId="0" xfId="0" applyFont="1" applyAlignment="1">
      <alignment horizontal="center" shrinkToFit="1"/>
    </xf>
    <xf numFmtId="0" fontId="3" fillId="0" borderId="0" xfId="0" applyFont="1" applyAlignment="1">
      <alignment horizontal="center" vertical="top" shrinkToFit="1"/>
    </xf>
    <xf numFmtId="0" fontId="3" fillId="0" borderId="0" xfId="0" applyFont="1" applyAlignment="1">
      <alignment vertical="top" shrinkToFit="1"/>
    </xf>
    <xf numFmtId="0" fontId="3" fillId="0" borderId="0" xfId="0" applyFont="1" applyAlignment="1">
      <alignment vertical="top" wrapText="1"/>
    </xf>
    <xf numFmtId="0" fontId="3" fillId="0" borderId="10" xfId="0" applyFont="1" applyFill="1" applyBorder="1" applyAlignment="1">
      <alignment horizontal="left" vertical="top" wrapText="1" shrinkToFit="1"/>
    </xf>
    <xf numFmtId="0" fontId="3" fillId="0" borderId="21" xfId="0" applyFont="1" applyFill="1" applyBorder="1" applyAlignment="1">
      <alignment vertical="top" shrinkToFit="1"/>
    </xf>
    <xf numFmtId="0" fontId="3" fillId="0" borderId="20" xfId="0" applyFont="1" applyFill="1" applyBorder="1" applyAlignment="1">
      <alignment vertical="top" shrinkToFit="1"/>
    </xf>
    <xf numFmtId="0" fontId="3" fillId="0" borderId="26" xfId="0" applyFont="1" applyFill="1" applyBorder="1" applyAlignment="1">
      <alignment vertical="top" shrinkToFi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shrinkToFit="1"/>
    </xf>
    <xf numFmtId="0" fontId="3" fillId="0" borderId="13" xfId="0" applyFont="1" applyFill="1" applyBorder="1" applyAlignment="1">
      <alignment horizontal="left" vertical="top" shrinkToFit="1"/>
    </xf>
    <xf numFmtId="0" fontId="3" fillId="0" borderId="0" xfId="0" applyFont="1" applyFill="1" applyAlignment="1">
      <alignment horizontal="center" vertical="top" shrinkToFit="1"/>
    </xf>
    <xf numFmtId="0" fontId="3" fillId="0" borderId="0" xfId="0" applyFont="1" applyFill="1" applyAlignment="1">
      <alignment vertical="top" shrinkToFit="1"/>
    </xf>
    <xf numFmtId="0" fontId="0" fillId="0" borderId="0" xfId="0" applyFont="1" applyAlignment="1">
      <alignment horizontal="center" vertical="center" shrinkToFit="1"/>
    </xf>
    <xf numFmtId="0" fontId="0" fillId="0" borderId="0" xfId="0" applyFont="1" applyFill="1" applyBorder="1" applyAlignment="1">
      <alignment vertical="top" wrapText="1"/>
    </xf>
    <xf numFmtId="0" fontId="0" fillId="0" borderId="0" xfId="0" applyFont="1" applyFill="1" applyBorder="1" applyAlignment="1">
      <alignment vertical="top" shrinkToFit="1"/>
    </xf>
    <xf numFmtId="0" fontId="3" fillId="0" borderId="12" xfId="0" applyFont="1" applyFill="1" applyBorder="1" applyAlignment="1">
      <alignment horizontal="left"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shrinkToFit="1"/>
    </xf>
    <xf numFmtId="49" fontId="3" fillId="0" borderId="0" xfId="0" applyNumberFormat="1" applyFont="1" applyBorder="1" applyAlignment="1">
      <alignment vertical="top" wrapText="1"/>
    </xf>
    <xf numFmtId="49" fontId="0" fillId="0" borderId="0" xfId="0" applyNumberFormat="1" applyFont="1" applyBorder="1" applyAlignment="1">
      <alignment vertical="top" wrapText="1"/>
    </xf>
    <xf numFmtId="0" fontId="3" fillId="0" borderId="0" xfId="0" applyFont="1" applyBorder="1" applyAlignment="1">
      <alignment horizontal="left" vertical="center" wrapText="1" indent="2"/>
    </xf>
    <xf numFmtId="0" fontId="3" fillId="0" borderId="0" xfId="0" applyFont="1" applyBorder="1" applyAlignment="1">
      <alignment horizontal="left" vertical="center" shrinkToFit="1"/>
    </xf>
    <xf numFmtId="0" fontId="3" fillId="0" borderId="0" xfId="0" applyFont="1" applyBorder="1" applyAlignment="1">
      <alignment horizontal="left" wrapText="1"/>
    </xf>
    <xf numFmtId="0" fontId="3" fillId="0" borderId="0" xfId="0" applyFont="1" applyBorder="1" applyAlignment="1">
      <alignment horizontal="left" shrinkToFit="1"/>
    </xf>
    <xf numFmtId="0" fontId="3" fillId="0" borderId="0" xfId="0" applyFont="1" applyBorder="1" applyAlignment="1">
      <alignment horizontal="left" vertical="top" wrapText="1"/>
    </xf>
    <xf numFmtId="0" fontId="3" fillId="0" borderId="0" xfId="0" applyFont="1" applyBorder="1" applyAlignment="1">
      <alignment horizontal="left" vertical="top" shrinkToFit="1"/>
    </xf>
    <xf numFmtId="49" fontId="3" fillId="0" borderId="20" xfId="0" applyNumberFormat="1" applyFont="1" applyFill="1" applyBorder="1" applyAlignment="1">
      <alignment horizontal="center" vertical="top" wrapText="1"/>
    </xf>
    <xf numFmtId="0" fontId="3" fillId="17" borderId="35" xfId="0" applyFont="1" applyFill="1" applyBorder="1" applyAlignment="1">
      <alignment horizontal="center" vertical="center" wrapText="1"/>
    </xf>
    <xf numFmtId="0" fontId="3" fillId="17" borderId="38" xfId="0" applyFont="1" applyFill="1" applyBorder="1" applyAlignment="1">
      <alignment horizontal="center" vertical="center" shrinkToFit="1"/>
    </xf>
    <xf numFmtId="49" fontId="3" fillId="17" borderId="39" xfId="0" applyNumberFormat="1" applyFont="1" applyFill="1" applyBorder="1" applyAlignment="1">
      <alignment horizontal="center" vertical="center" wrapText="1"/>
    </xf>
    <xf numFmtId="0" fontId="3" fillId="17" borderId="39" xfId="0" applyFont="1" applyFill="1" applyBorder="1" applyAlignment="1">
      <alignment horizontal="center" vertical="center" wrapText="1"/>
    </xf>
    <xf numFmtId="0" fontId="3" fillId="17" borderId="39" xfId="0" applyFont="1" applyFill="1" applyBorder="1" applyAlignment="1">
      <alignment horizontal="center" vertical="center" shrinkToFit="1"/>
    </xf>
    <xf numFmtId="0" fontId="3" fillId="17" borderId="40" xfId="0" applyFont="1" applyFill="1" applyBorder="1" applyAlignment="1">
      <alignment horizontal="center" vertical="center" shrinkToFit="1"/>
    </xf>
    <xf numFmtId="0" fontId="3" fillId="0" borderId="10" xfId="247" applyFont="1" applyFill="1" applyBorder="1" applyAlignment="1">
      <alignment vertical="top" shrinkToFit="1"/>
    </xf>
    <xf numFmtId="0" fontId="3" fillId="0" borderId="12" xfId="247" applyFont="1" applyFill="1" applyBorder="1" applyAlignment="1">
      <alignment vertical="top" shrinkToFit="1"/>
    </xf>
    <xf numFmtId="0" fontId="3" fillId="0" borderId="29" xfId="0" applyFont="1" applyFill="1" applyBorder="1" applyAlignment="1">
      <alignment vertical="top" shrinkToFit="1"/>
    </xf>
    <xf numFmtId="0" fontId="3" fillId="0" borderId="12" xfId="0" applyFont="1" applyFill="1" applyBorder="1" applyAlignment="1">
      <alignment shrinkToFit="1"/>
    </xf>
    <xf numFmtId="0" fontId="3" fillId="17" borderId="44" xfId="0" applyFont="1" applyFill="1" applyBorder="1" applyAlignment="1">
      <alignment horizontal="center" vertical="center" shrinkToFit="1"/>
    </xf>
    <xf numFmtId="0" fontId="3" fillId="0" borderId="26" xfId="0" applyFont="1" applyFill="1" applyBorder="1" applyAlignment="1">
      <alignment horizontal="left" vertical="top" shrinkToFit="1"/>
    </xf>
    <xf numFmtId="0" fontId="3" fillId="0" borderId="45" xfId="0" applyFont="1" applyFill="1" applyBorder="1" applyAlignment="1">
      <alignment vertical="top" shrinkToFit="1"/>
    </xf>
    <xf numFmtId="0" fontId="23" fillId="0" borderId="0" xfId="0" applyFont="1" applyBorder="1" applyAlignment="1">
      <alignment wrapText="1"/>
    </xf>
    <xf numFmtId="0" fontId="22" fillId="0" borderId="0" xfId="0" applyFont="1" applyBorder="1" applyAlignment="1">
      <alignment horizontal="center" vertical="top" wrapText="1"/>
    </xf>
    <xf numFmtId="0" fontId="30" fillId="18" borderId="50" xfId="0" applyFont="1" applyFill="1" applyBorder="1" applyAlignment="1">
      <alignment horizontal="center" vertical="center" shrinkToFit="1"/>
    </xf>
    <xf numFmtId="0" fontId="0" fillId="0" borderId="0" xfId="0" applyProtection="1"/>
    <xf numFmtId="0" fontId="0" fillId="19" borderId="53" xfId="0" applyNumberFormat="1" applyFont="1" applyFill="1" applyBorder="1" applyProtection="1"/>
    <xf numFmtId="0" fontId="0" fillId="19" borderId="53" xfId="0" applyNumberFormat="1" applyFill="1" applyBorder="1" applyProtection="1"/>
    <xf numFmtId="0" fontId="0" fillId="19" borderId="53" xfId="0" applyFill="1" applyBorder="1" applyProtection="1"/>
    <xf numFmtId="0" fontId="3" fillId="0" borderId="0" xfId="0" applyFont="1" applyAlignment="1">
      <alignment horizontal="left" wrapText="1"/>
    </xf>
    <xf numFmtId="49" fontId="3" fillId="0" borderId="12" xfId="0" applyNumberFormat="1" applyFont="1" applyFill="1" applyBorder="1" applyAlignment="1">
      <alignment horizontal="center" vertical="center" wrapText="1"/>
    </xf>
    <xf numFmtId="0" fontId="3" fillId="21" borderId="20" xfId="0" applyFont="1" applyFill="1" applyBorder="1" applyAlignment="1">
      <alignment vertical="top" shrinkToFit="1"/>
    </xf>
    <xf numFmtId="0" fontId="3" fillId="21" borderId="26" xfId="0" applyFont="1" applyFill="1" applyBorder="1" applyAlignment="1">
      <alignment vertical="top" shrinkToFit="1"/>
    </xf>
    <xf numFmtId="0" fontId="3" fillId="21" borderId="10" xfId="0" applyFont="1" applyFill="1" applyBorder="1" applyAlignment="1">
      <alignment horizontal="left" vertical="top" wrapText="1" shrinkToFit="1"/>
    </xf>
    <xf numFmtId="0" fontId="3" fillId="21" borderId="13" xfId="0" applyFont="1" applyFill="1" applyBorder="1" applyAlignment="1">
      <alignment vertical="top" wrapText="1"/>
    </xf>
    <xf numFmtId="0" fontId="3" fillId="0" borderId="0" xfId="0" applyFont="1" applyFill="1" applyBorder="1" applyAlignment="1">
      <alignment vertical="top" wrapText="1"/>
    </xf>
    <xf numFmtId="0" fontId="3" fillId="0" borderId="13" xfId="0" applyFont="1" applyFill="1" applyBorder="1" applyAlignment="1">
      <alignment horizontal="left" vertical="center" wrapText="1"/>
    </xf>
    <xf numFmtId="0" fontId="3" fillId="0" borderId="12" xfId="248" applyFont="1" applyFill="1" applyBorder="1" applyAlignment="1" applyProtection="1">
      <alignment horizontal="left" vertical="center" wrapText="1"/>
    </xf>
    <xf numFmtId="0" fontId="3" fillId="0" borderId="50" xfId="0" applyFont="1" applyFill="1" applyBorder="1" applyAlignment="1">
      <alignment vertical="top" shrinkToFit="1"/>
    </xf>
    <xf numFmtId="0" fontId="0" fillId="0" borderId="20" xfId="0" applyFont="1" applyFill="1" applyBorder="1" applyAlignment="1">
      <alignment horizontal="left" vertical="center"/>
    </xf>
    <xf numFmtId="0" fontId="33" fillId="0" borderId="10" xfId="0" applyFont="1" applyFill="1" applyBorder="1" applyAlignment="1">
      <alignment horizontal="left" vertical="center" wrapText="1"/>
    </xf>
    <xf numFmtId="0" fontId="0" fillId="0" borderId="26" xfId="0" applyFont="1" applyFill="1" applyBorder="1" applyAlignment="1">
      <alignment horizontal="left" vertical="center"/>
    </xf>
    <xf numFmtId="0" fontId="3" fillId="0" borderId="45" xfId="248" applyFont="1" applyFill="1" applyBorder="1" applyAlignment="1" applyProtection="1">
      <alignment horizontal="left" vertical="center" wrapText="1"/>
    </xf>
    <xf numFmtId="0" fontId="3" fillId="0" borderId="29" xfId="0" applyFont="1" applyFill="1" applyBorder="1" applyAlignment="1">
      <alignment horizontal="left" vertical="center" wrapText="1"/>
    </xf>
    <xf numFmtId="0" fontId="3" fillId="0" borderId="20" xfId="248" applyFont="1" applyFill="1" applyBorder="1" applyAlignment="1" applyProtection="1">
      <alignment horizontal="left" vertical="center"/>
    </xf>
    <xf numFmtId="0" fontId="33" fillId="0" borderId="17" xfId="0" applyFont="1" applyFill="1" applyBorder="1" applyAlignment="1">
      <alignment horizontal="left" vertical="center" wrapText="1"/>
    </xf>
    <xf numFmtId="0" fontId="3" fillId="0" borderId="17" xfId="247" applyFont="1" applyFill="1" applyBorder="1" applyAlignment="1">
      <alignment horizontal="left" vertical="top" wrapText="1"/>
    </xf>
    <xf numFmtId="0" fontId="3" fillId="0" borderId="17" xfId="247" applyFont="1" applyFill="1" applyBorder="1" applyAlignment="1">
      <alignment vertical="top" shrinkToFit="1"/>
    </xf>
    <xf numFmtId="0" fontId="3" fillId="0" borderId="13" xfId="247" applyFont="1" applyFill="1" applyBorder="1" applyAlignment="1">
      <alignment vertical="top" wrapText="1" shrinkToFit="1"/>
    </xf>
    <xf numFmtId="0" fontId="3" fillId="0" borderId="10" xfId="248" applyFont="1" applyFill="1" applyBorder="1" applyAlignment="1" applyProtection="1">
      <alignment horizontal="left" vertical="center"/>
    </xf>
    <xf numFmtId="0" fontId="3" fillId="0" borderId="39" xfId="0" applyFont="1" applyFill="1" applyBorder="1" applyAlignment="1">
      <alignment horizontal="left" vertical="center" wrapText="1"/>
    </xf>
    <xf numFmtId="0" fontId="3" fillId="21" borderId="10" xfId="0" applyFont="1" applyFill="1" applyBorder="1" applyAlignment="1">
      <alignment vertical="top" shrinkToFit="1"/>
    </xf>
    <xf numFmtId="49" fontId="35" fillId="0" borderId="0" xfId="0" applyNumberFormat="1" applyFont="1" applyFill="1" applyBorder="1" applyAlignment="1">
      <alignment horizontal="center" vertical="center" wrapText="1"/>
    </xf>
    <xf numFmtId="0" fontId="26" fillId="0" borderId="12" xfId="0" applyFont="1" applyFill="1" applyBorder="1" applyAlignment="1">
      <alignment horizontal="left" vertical="top" wrapText="1"/>
    </xf>
    <xf numFmtId="0" fontId="26" fillId="0" borderId="12" xfId="0" applyFont="1" applyFill="1" applyBorder="1" applyAlignment="1">
      <alignment horizontal="left" vertical="top" shrinkToFit="1"/>
    </xf>
    <xf numFmtId="0" fontId="3" fillId="0" borderId="13" xfId="0" applyFont="1" applyFill="1" applyBorder="1" applyAlignment="1">
      <alignment horizontal="left" vertical="center"/>
    </xf>
    <xf numFmtId="0" fontId="33" fillId="0" borderId="12" xfId="0" applyFont="1" applyFill="1" applyBorder="1" applyAlignment="1">
      <alignment horizontal="left" vertical="center" wrapText="1"/>
    </xf>
    <xf numFmtId="0" fontId="3" fillId="0" borderId="20" xfId="0" applyFont="1" applyFill="1" applyBorder="1" applyAlignment="1">
      <alignment horizontal="left" vertical="top" wrapText="1"/>
    </xf>
    <xf numFmtId="0" fontId="0" fillId="0" borderId="0" xfId="0" quotePrefix="1"/>
    <xf numFmtId="49" fontId="3" fillId="0" borderId="2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wrapText="1"/>
    </xf>
    <xf numFmtId="0" fontId="3" fillId="0" borderId="62" xfId="0" applyFont="1" applyFill="1" applyBorder="1" applyAlignment="1">
      <alignment vertical="top" wrapText="1"/>
    </xf>
    <xf numFmtId="0" fontId="3" fillId="0" borderId="62" xfId="0" applyFont="1" applyFill="1" applyBorder="1" applyAlignment="1">
      <alignment vertical="top" shrinkToFit="1"/>
    </xf>
    <xf numFmtId="0" fontId="3" fillId="0" borderId="17" xfId="248" applyFont="1" applyBorder="1" applyAlignment="1" applyProtection="1">
      <alignment horizontal="left" vertical="center"/>
    </xf>
    <xf numFmtId="0" fontId="33" fillId="0" borderId="17" xfId="0" applyFont="1" applyFill="1" applyBorder="1" applyAlignment="1">
      <alignment vertical="center" wrapText="1"/>
    </xf>
    <xf numFmtId="0" fontId="0" fillId="0" borderId="12" xfId="0" applyFont="1" applyFill="1" applyBorder="1" applyAlignment="1">
      <alignment horizontal="left" vertical="center" wrapText="1"/>
    </xf>
    <xf numFmtId="0" fontId="3" fillId="0" borderId="12" xfId="0" applyFont="1" applyFill="1" applyBorder="1" applyAlignment="1">
      <alignment vertical="center" wrapText="1"/>
    </xf>
    <xf numFmtId="0" fontId="26" fillId="26" borderId="10" xfId="0" applyFont="1" applyFill="1" applyBorder="1" applyAlignment="1">
      <alignment horizontal="left" vertical="top" wrapText="1" shrinkToFit="1"/>
    </xf>
    <xf numFmtId="0" fontId="26" fillId="26" borderId="20" xfId="0" applyFont="1" applyFill="1" applyBorder="1" applyAlignment="1">
      <alignment vertical="top" shrinkToFit="1"/>
    </xf>
    <xf numFmtId="0" fontId="26" fillId="26" borderId="12" xfId="0" applyFont="1" applyFill="1" applyBorder="1" applyAlignment="1">
      <alignment vertical="top" wrapText="1"/>
    </xf>
    <xf numFmtId="0" fontId="26" fillId="26" borderId="26" xfId="0" applyFont="1" applyFill="1" applyBorder="1" applyAlignment="1">
      <alignment vertical="top" shrinkToFit="1"/>
    </xf>
    <xf numFmtId="0" fontId="0" fillId="0" borderId="64" xfId="0" applyFont="1" applyFill="1" applyBorder="1" applyAlignment="1">
      <alignment horizontal="left" vertical="center"/>
    </xf>
    <xf numFmtId="49" fontId="3" fillId="0" borderId="64" xfId="0" applyNumberFormat="1" applyFont="1" applyFill="1" applyBorder="1" applyAlignment="1">
      <alignment horizontal="center" vertical="top" wrapText="1"/>
    </xf>
    <xf numFmtId="0" fontId="41" fillId="0" borderId="17" xfId="0" applyFont="1" applyFill="1" applyBorder="1" applyAlignment="1">
      <alignment horizontal="left" vertical="center" wrapText="1"/>
    </xf>
    <xf numFmtId="0" fontId="41" fillId="0" borderId="29" xfId="0" applyFont="1" applyFill="1" applyBorder="1" applyAlignment="1">
      <alignment vertical="center" wrapText="1"/>
    </xf>
    <xf numFmtId="0" fontId="41" fillId="0" borderId="13" xfId="0" applyFont="1" applyFill="1" applyBorder="1" applyAlignment="1">
      <alignment horizontal="left" vertical="center" wrapText="1"/>
    </xf>
    <xf numFmtId="0" fontId="3" fillId="0" borderId="26" xfId="0" applyFont="1" applyFill="1" applyBorder="1" applyAlignment="1">
      <alignment vertical="top" wrapText="1"/>
    </xf>
    <xf numFmtId="49" fontId="3" fillId="0" borderId="62" xfId="0" applyNumberFormat="1" applyFont="1" applyFill="1" applyBorder="1" applyAlignment="1">
      <alignment horizontal="center" vertical="top" wrapText="1"/>
    </xf>
    <xf numFmtId="0" fontId="45" fillId="26" borderId="17" xfId="248" applyFont="1" applyFill="1" applyBorder="1" applyAlignment="1" applyProtection="1">
      <alignment horizontal="left" vertical="center"/>
    </xf>
    <xf numFmtId="0" fontId="45" fillId="26" borderId="17" xfId="0" applyFont="1" applyFill="1" applyBorder="1" applyAlignment="1">
      <alignment horizontal="left" vertical="center" wrapText="1"/>
    </xf>
    <xf numFmtId="0" fontId="46" fillId="26" borderId="13" xfId="0" applyFont="1" applyFill="1" applyBorder="1" applyAlignment="1">
      <alignment horizontal="left" vertical="center" wrapText="1"/>
    </xf>
    <xf numFmtId="0" fontId="45" fillId="26" borderId="13" xfId="0" applyFont="1" applyFill="1" applyBorder="1" applyAlignment="1">
      <alignment horizontal="left" vertical="center" wrapText="1"/>
    </xf>
    <xf numFmtId="0" fontId="41" fillId="0" borderId="12" xfId="0" applyFont="1" applyFill="1" applyBorder="1" applyAlignment="1">
      <alignment vertical="center" wrapText="1"/>
    </xf>
    <xf numFmtId="0" fontId="40" fillId="0" borderId="12" xfId="0" applyFont="1" applyFill="1" applyBorder="1" applyAlignment="1">
      <alignment vertical="center" wrapText="1"/>
    </xf>
    <xf numFmtId="0" fontId="41" fillId="0" borderId="13" xfId="0" applyFont="1" applyFill="1" applyBorder="1" applyAlignment="1">
      <alignment horizontal="left" vertical="center" wrapText="1" shrinkToFit="1"/>
    </xf>
    <xf numFmtId="0" fontId="41" fillId="0" borderId="13" xfId="0" applyFont="1" applyFill="1" applyBorder="1" applyAlignment="1">
      <alignment vertical="center" wrapText="1"/>
    </xf>
    <xf numFmtId="0" fontId="40" fillId="0" borderId="12"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26" fillId="26" borderId="13" xfId="0" applyFont="1" applyFill="1" applyBorder="1" applyAlignment="1">
      <alignment vertical="top" wrapText="1"/>
    </xf>
    <xf numFmtId="0" fontId="3" fillId="0" borderId="50" xfId="0" applyFont="1" applyFill="1" applyBorder="1" applyAlignment="1">
      <alignment horizontal="left" vertical="top" shrinkToFit="1"/>
    </xf>
    <xf numFmtId="0" fontId="0" fillId="0" borderId="28" xfId="0" applyBorder="1" applyAlignment="1">
      <alignment horizontal="center" vertical="center" wrapText="1"/>
    </xf>
    <xf numFmtId="0" fontId="0" fillId="0" borderId="24" xfId="0" applyBorder="1" applyAlignment="1">
      <alignment horizontal="center" vertical="center" shrinkToFit="1"/>
    </xf>
    <xf numFmtId="0" fontId="0" fillId="0" borderId="12" xfId="0" applyFont="1" applyFill="1" applyBorder="1" applyAlignment="1">
      <alignment horizontal="left" vertical="top"/>
    </xf>
    <xf numFmtId="0" fontId="40" fillId="0" borderId="17" xfId="0" applyFont="1" applyFill="1" applyBorder="1" applyAlignment="1">
      <alignment horizontal="left" vertical="center" wrapText="1"/>
    </xf>
    <xf numFmtId="0" fontId="32" fillId="0" borderId="17" xfId="0" applyFont="1" applyFill="1" applyBorder="1" applyAlignment="1">
      <alignment vertical="top" wrapText="1"/>
    </xf>
    <xf numFmtId="0" fontId="32" fillId="0" borderId="17" xfId="0" applyFont="1" applyFill="1" applyBorder="1" applyAlignment="1">
      <alignment vertical="top" shrinkToFit="1"/>
    </xf>
    <xf numFmtId="0" fontId="32" fillId="0" borderId="13" xfId="0" applyFont="1" applyFill="1" applyBorder="1" applyAlignment="1">
      <alignment vertical="top" wrapText="1"/>
    </xf>
    <xf numFmtId="0" fontId="32" fillId="0" borderId="13" xfId="0" applyFont="1" applyFill="1" applyBorder="1" applyAlignment="1">
      <alignment vertical="top" shrinkToFit="1"/>
    </xf>
    <xf numFmtId="49" fontId="35" fillId="0" borderId="65" xfId="0" applyNumberFormat="1" applyFont="1" applyFill="1" applyBorder="1" applyAlignment="1">
      <alignment horizontal="center" vertical="center" wrapText="1"/>
    </xf>
    <xf numFmtId="0" fontId="26" fillId="0" borderId="62" xfId="0" applyFont="1" applyFill="1" applyBorder="1" applyAlignment="1">
      <alignment horizontal="left" vertical="top" wrapText="1"/>
    </xf>
    <xf numFmtId="0" fontId="26" fillId="0" borderId="62" xfId="0" applyFont="1" applyFill="1" applyBorder="1" applyAlignment="1">
      <alignment horizontal="left" vertical="top" shrinkToFit="1"/>
    </xf>
    <xf numFmtId="0" fontId="0" fillId="0" borderId="13" xfId="0" applyFont="1" applyBorder="1" applyAlignment="1">
      <alignment horizontal="left" vertical="center"/>
    </xf>
    <xf numFmtId="0" fontId="3" fillId="0" borderId="12" xfId="248" applyFont="1" applyFill="1" applyBorder="1" applyAlignment="1" applyProtection="1">
      <alignment horizontal="left" vertical="center"/>
    </xf>
    <xf numFmtId="0" fontId="3" fillId="0" borderId="62" xfId="0" applyFont="1" applyFill="1" applyBorder="1" applyAlignment="1">
      <alignment horizontal="left" vertical="center"/>
    </xf>
    <xf numFmtId="0" fontId="3" fillId="0" borderId="62" xfId="0" applyFont="1" applyFill="1" applyBorder="1" applyAlignment="1">
      <alignment horizontal="left" vertical="center" wrapText="1"/>
    </xf>
    <xf numFmtId="0" fontId="3" fillId="0" borderId="12" xfId="248" applyFont="1" applyBorder="1" applyAlignment="1" applyProtection="1">
      <alignment horizontal="left" vertical="center"/>
    </xf>
    <xf numFmtId="0" fontId="33" fillId="0" borderId="12" xfId="0" applyFont="1" applyFill="1" applyBorder="1" applyAlignment="1">
      <alignment vertical="center" wrapText="1"/>
    </xf>
    <xf numFmtId="0" fontId="3" fillId="0" borderId="13" xfId="0" applyFont="1" applyFill="1" applyBorder="1" applyAlignment="1">
      <alignment vertical="center" wrapText="1"/>
    </xf>
    <xf numFmtId="176" fontId="3" fillId="0" borderId="17" xfId="0" applyNumberFormat="1" applyFont="1" applyFill="1" applyBorder="1" applyAlignment="1">
      <alignment vertical="top" shrinkToFit="1"/>
    </xf>
    <xf numFmtId="0" fontId="3" fillId="0" borderId="31" xfId="0" applyFont="1" applyFill="1" applyBorder="1" applyAlignment="1">
      <alignment horizontal="center" vertical="center" textRotation="90" shrinkToFit="1"/>
    </xf>
    <xf numFmtId="0" fontId="3" fillId="0" borderId="63" xfId="0" applyFont="1" applyFill="1" applyBorder="1" applyAlignment="1">
      <alignment horizontal="center" vertical="center" textRotation="90" shrinkToFit="1"/>
    </xf>
    <xf numFmtId="49" fontId="3" fillId="0" borderId="64" xfId="0" applyNumberFormat="1" applyFont="1" applyFill="1" applyBorder="1" applyAlignment="1">
      <alignment horizontal="center" vertical="center" wrapText="1"/>
    </xf>
    <xf numFmtId="0" fontId="3" fillId="0" borderId="64" xfId="0" applyFont="1" applyFill="1" applyBorder="1" applyAlignment="1">
      <alignment horizontal="left" vertical="top" wrapText="1"/>
    </xf>
    <xf numFmtId="0" fontId="3" fillId="0" borderId="45" xfId="248" applyFont="1" applyBorder="1" applyAlignment="1" applyProtection="1">
      <alignment horizontal="left" vertical="center" shrinkToFit="1"/>
    </xf>
    <xf numFmtId="0" fontId="3" fillId="0" borderId="26" xfId="0" applyFont="1" applyBorder="1" applyAlignment="1">
      <alignment horizontal="left" vertical="center" wrapText="1"/>
    </xf>
    <xf numFmtId="0" fontId="3" fillId="26" borderId="10" xfId="0" applyFont="1" applyFill="1" applyBorder="1" applyAlignment="1">
      <alignment horizontal="left" vertical="top" wrapText="1" shrinkToFit="1"/>
    </xf>
    <xf numFmtId="0" fontId="3" fillId="26" borderId="20" xfId="0" applyFont="1" applyFill="1" applyBorder="1" applyAlignment="1">
      <alignment vertical="top" shrinkToFit="1"/>
    </xf>
    <xf numFmtId="0" fontId="3" fillId="26" borderId="13" xfId="0" applyFont="1" applyFill="1" applyBorder="1" applyAlignment="1">
      <alignment vertical="top" wrapText="1"/>
    </xf>
    <xf numFmtId="0" fontId="3" fillId="26" borderId="26" xfId="0" applyFont="1" applyFill="1" applyBorder="1" applyAlignment="1">
      <alignment vertical="top" shrinkToFit="1"/>
    </xf>
    <xf numFmtId="0" fontId="41" fillId="0" borderId="12" xfId="0" applyFont="1" applyFill="1" applyBorder="1" applyAlignment="1">
      <alignment horizontal="left" vertical="center" wrapText="1"/>
    </xf>
    <xf numFmtId="0" fontId="1" fillId="0" borderId="12" xfId="0" applyFont="1" applyFill="1" applyBorder="1" applyAlignment="1">
      <alignment horizontal="left" vertical="center"/>
    </xf>
    <xf numFmtId="0" fontId="3" fillId="0" borderId="13" xfId="247" applyFont="1" applyFill="1" applyBorder="1" applyAlignment="1">
      <alignment vertical="top" shrinkToFit="1"/>
    </xf>
    <xf numFmtId="0" fontId="3" fillId="0" borderId="10" xfId="248" applyFont="1" applyFill="1" applyBorder="1" applyAlignment="1" applyProtection="1">
      <alignment horizontal="left" vertical="center" wrapText="1"/>
    </xf>
    <xf numFmtId="0" fontId="3" fillId="0" borderId="64" xfId="0" applyFont="1" applyFill="1" applyBorder="1" applyAlignment="1">
      <alignment vertical="top" shrinkToFit="1"/>
    </xf>
    <xf numFmtId="0" fontId="3" fillId="26" borderId="45" xfId="0" applyFont="1" applyFill="1" applyBorder="1" applyAlignment="1">
      <alignment vertical="top" shrinkToFit="1"/>
    </xf>
    <xf numFmtId="0" fontId="3" fillId="26" borderId="29" xfId="0" applyFont="1" applyFill="1" applyBorder="1" applyAlignment="1">
      <alignment vertical="top" wrapText="1"/>
    </xf>
    <xf numFmtId="0" fontId="3" fillId="0" borderId="45" xfId="247" applyFont="1" applyFill="1" applyBorder="1" applyAlignment="1">
      <alignment wrapText="1" shrinkToFit="1"/>
    </xf>
    <xf numFmtId="0" fontId="3" fillId="0" borderId="29" xfId="247" applyFont="1" applyFill="1" applyBorder="1" applyAlignment="1">
      <alignment vertical="center" wrapText="1" shrinkToFit="1"/>
    </xf>
    <xf numFmtId="0" fontId="3" fillId="0" borderId="20" xfId="0" applyFont="1" applyFill="1" applyBorder="1" applyAlignment="1">
      <alignment horizontal="left" vertical="center" wrapText="1" shrinkToFit="1"/>
    </xf>
    <xf numFmtId="0" fontId="21" fillId="0" borderId="26" xfId="0" applyFont="1" applyFill="1" applyBorder="1" applyAlignment="1">
      <alignment vertical="top" wrapText="1"/>
    </xf>
    <xf numFmtId="0" fontId="3" fillId="21" borderId="29" xfId="0" applyFont="1" applyFill="1" applyBorder="1" applyAlignment="1">
      <alignment vertical="top" shrinkToFit="1"/>
    </xf>
    <xf numFmtId="0" fontId="30" fillId="18" borderId="16" xfId="0" applyFont="1" applyFill="1" applyBorder="1" applyAlignment="1">
      <alignment horizontal="center" vertical="center" shrinkToFit="1"/>
    </xf>
    <xf numFmtId="0" fontId="3" fillId="0" borderId="20" xfId="0" applyFont="1" applyFill="1" applyBorder="1" applyAlignment="1">
      <alignment vertical="top" wrapText="1"/>
    </xf>
    <xf numFmtId="49" fontId="3" fillId="0" borderId="26" xfId="0" applyNumberFormat="1" applyFont="1" applyFill="1" applyBorder="1" applyAlignment="1">
      <alignment horizontal="center" vertical="top" wrapText="1"/>
    </xf>
    <xf numFmtId="0" fontId="3" fillId="0" borderId="40" xfId="0" applyFont="1" applyFill="1" applyBorder="1" applyAlignment="1">
      <alignment vertical="top" shrinkToFit="1"/>
    </xf>
    <xf numFmtId="0" fontId="32" fillId="0" borderId="20" xfId="0" applyFont="1" applyFill="1" applyBorder="1" applyAlignment="1">
      <alignment vertical="top" wrapText="1"/>
    </xf>
    <xf numFmtId="0" fontId="32" fillId="0" borderId="64" xfId="0" applyFont="1" applyFill="1" applyBorder="1" applyAlignment="1">
      <alignment vertical="top" wrapText="1"/>
    </xf>
    <xf numFmtId="0" fontId="26" fillId="0" borderId="0" xfId="0" applyFont="1" applyFill="1" applyBorder="1" applyAlignment="1">
      <alignment vertical="top" shrinkToFit="1"/>
    </xf>
    <xf numFmtId="0" fontId="26" fillId="0" borderId="65" xfId="0" applyFont="1" applyFill="1" applyBorder="1" applyAlignment="1">
      <alignment vertical="top" shrinkToFit="1"/>
    </xf>
    <xf numFmtId="0" fontId="3" fillId="0" borderId="79" xfId="0" applyFont="1" applyFill="1" applyBorder="1" applyAlignment="1">
      <alignment vertical="top" shrinkToFit="1"/>
    </xf>
    <xf numFmtId="0" fontId="3" fillId="0" borderId="80" xfId="0" applyFont="1" applyFill="1" applyBorder="1" applyAlignment="1">
      <alignment vertical="top" shrinkToFit="1"/>
    </xf>
    <xf numFmtId="0" fontId="48" fillId="0" borderId="81" xfId="0" applyFont="1" applyFill="1" applyBorder="1" applyAlignment="1">
      <alignment vertical="top" shrinkToFit="1"/>
    </xf>
    <xf numFmtId="0" fontId="3" fillId="0" borderId="65" xfId="0" applyFont="1" applyFill="1" applyBorder="1" applyAlignment="1">
      <alignment vertical="top" shrinkToFit="1"/>
    </xf>
    <xf numFmtId="0" fontId="3" fillId="0" borderId="0" xfId="0" applyFont="1" applyFill="1" applyBorder="1" applyAlignment="1">
      <alignment shrinkToFit="1"/>
    </xf>
    <xf numFmtId="0" fontId="3" fillId="0" borderId="65" xfId="0" applyFont="1" applyFill="1" applyBorder="1" applyAlignment="1">
      <alignment vertical="top" wrapText="1"/>
    </xf>
    <xf numFmtId="0" fontId="3" fillId="26" borderId="29" xfId="0" applyFont="1" applyFill="1" applyBorder="1" applyAlignment="1">
      <alignment vertical="top" shrinkToFit="1"/>
    </xf>
    <xf numFmtId="0" fontId="3" fillId="0" borderId="20" xfId="247" applyFont="1" applyFill="1" applyBorder="1" applyAlignment="1">
      <alignment vertical="top" shrinkToFit="1"/>
    </xf>
    <xf numFmtId="0" fontId="3" fillId="0" borderId="29" xfId="247" applyFont="1" applyFill="1" applyBorder="1" applyAlignment="1">
      <alignment vertical="top" shrinkToFit="1"/>
    </xf>
    <xf numFmtId="0" fontId="3" fillId="0" borderId="45" xfId="0" applyFont="1" applyFill="1" applyBorder="1" applyAlignment="1">
      <alignment vertical="top" wrapText="1"/>
    </xf>
    <xf numFmtId="0" fontId="32" fillId="0" borderId="26" xfId="0" applyFont="1" applyFill="1" applyBorder="1" applyAlignment="1">
      <alignment vertical="top" shrinkToFit="1"/>
    </xf>
    <xf numFmtId="0" fontId="3" fillId="0" borderId="81" xfId="0" applyFont="1" applyFill="1" applyBorder="1" applyAlignment="1">
      <alignment vertical="top" shrinkToFit="1"/>
    </xf>
    <xf numFmtId="0" fontId="32" fillId="0" borderId="29" xfId="0" applyFont="1" applyFill="1" applyBorder="1" applyAlignment="1">
      <alignment vertical="top" shrinkToFit="1"/>
    </xf>
    <xf numFmtId="0" fontId="3" fillId="0" borderId="20" xfId="0" applyFont="1" applyFill="1" applyBorder="1" applyAlignment="1">
      <alignment horizontal="left" vertical="top" shrinkToFit="1"/>
    </xf>
    <xf numFmtId="0" fontId="3" fillId="0" borderId="29" xfId="0" applyFont="1" applyFill="1" applyBorder="1" applyAlignment="1">
      <alignment horizontal="left" vertical="top" shrinkToFit="1"/>
    </xf>
    <xf numFmtId="0" fontId="32" fillId="0" borderId="45" xfId="0" applyFont="1" applyFill="1" applyBorder="1" applyAlignment="1">
      <alignment vertical="top" shrinkToFit="1"/>
    </xf>
    <xf numFmtId="49" fontId="3" fillId="0" borderId="29" xfId="0" applyNumberFormat="1" applyFont="1" applyFill="1" applyBorder="1" applyAlignment="1">
      <alignment vertical="center" wrapText="1"/>
    </xf>
    <xf numFmtId="49" fontId="3" fillId="0" borderId="26" xfId="0" applyNumberFormat="1" applyFont="1" applyFill="1" applyBorder="1" applyAlignment="1">
      <alignment vertical="center" wrapText="1"/>
    </xf>
    <xf numFmtId="0" fontId="3" fillId="0" borderId="45" xfId="0" applyFont="1" applyFill="1" applyBorder="1" applyAlignment="1">
      <alignment shrinkToFit="1"/>
    </xf>
    <xf numFmtId="0" fontId="34" fillId="0" borderId="45" xfId="0" applyFont="1" applyFill="1" applyBorder="1" applyAlignment="1">
      <alignment vertical="center" wrapText="1" shrinkToFit="1"/>
    </xf>
    <xf numFmtId="0" fontId="50" fillId="0" borderId="29" xfId="0" applyFont="1" applyFill="1" applyBorder="1" applyAlignment="1">
      <alignment vertical="top" shrinkToFit="1"/>
    </xf>
    <xf numFmtId="0" fontId="3" fillId="0" borderId="50" xfId="0" applyFont="1" applyFill="1" applyBorder="1" applyAlignment="1">
      <alignment horizontal="center" vertical="center" textRotation="90" shrinkToFit="1"/>
    </xf>
    <xf numFmtId="0" fontId="3" fillId="28" borderId="10" xfId="248" applyFont="1" applyFill="1" applyBorder="1" applyAlignment="1" applyProtection="1">
      <alignment horizontal="left" vertical="center"/>
    </xf>
    <xf numFmtId="0" fontId="33" fillId="28" borderId="10" xfId="0" applyFont="1" applyFill="1" applyBorder="1" applyAlignment="1">
      <alignment horizontal="left" vertical="center" wrapText="1"/>
    </xf>
    <xf numFmtId="0" fontId="3" fillId="28" borderId="17" xfId="248" applyFont="1" applyFill="1" applyBorder="1" applyAlignment="1" applyProtection="1">
      <alignment horizontal="left" vertical="center"/>
    </xf>
    <xf numFmtId="0" fontId="33" fillId="28" borderId="17" xfId="0" applyFont="1" applyFill="1" applyBorder="1" applyAlignment="1">
      <alignment horizontal="left" vertical="center" wrapText="1"/>
    </xf>
    <xf numFmtId="0" fontId="32" fillId="28" borderId="13" xfId="0" applyFont="1" applyFill="1" applyBorder="1" applyAlignment="1">
      <alignment horizontal="left" vertical="center"/>
    </xf>
    <xf numFmtId="0" fontId="33" fillId="28" borderId="13" xfId="0" applyFont="1" applyFill="1" applyBorder="1" applyAlignment="1">
      <alignment horizontal="left" vertical="center" wrapText="1"/>
    </xf>
    <xf numFmtId="0" fontId="3" fillId="0" borderId="50" xfId="0" applyFont="1" applyFill="1" applyBorder="1" applyAlignment="1">
      <alignment horizontal="left" shrinkToFit="1"/>
    </xf>
    <xf numFmtId="0" fontId="32" fillId="28" borderId="12" xfId="0" applyFont="1" applyFill="1" applyBorder="1" applyAlignment="1">
      <alignment horizontal="left" vertical="center"/>
    </xf>
    <xf numFmtId="0" fontId="33" fillId="28" borderId="1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28" borderId="81" xfId="0" applyFont="1" applyFill="1" applyBorder="1" applyAlignment="1">
      <alignment vertical="top" shrinkToFit="1"/>
    </xf>
    <xf numFmtId="0" fontId="3" fillId="28" borderId="80" xfId="0" applyFont="1" applyFill="1" applyBorder="1" applyAlignment="1">
      <alignment vertical="top" shrinkToFit="1"/>
    </xf>
    <xf numFmtId="0" fontId="3" fillId="28" borderId="0" xfId="0" applyFont="1" applyFill="1" applyBorder="1" applyAlignment="1">
      <alignment vertical="top" shrinkToFit="1"/>
    </xf>
    <xf numFmtId="0" fontId="3" fillId="28" borderId="79" xfId="0" applyFont="1" applyFill="1" applyBorder="1" applyAlignment="1">
      <alignment vertical="top" shrinkToFit="1"/>
    </xf>
    <xf numFmtId="0" fontId="3" fillId="0" borderId="64" xfId="0" applyFont="1" applyFill="1" applyBorder="1" applyAlignment="1">
      <alignment horizontal="left" vertical="top" shrinkToFit="1"/>
    </xf>
    <xf numFmtId="177" fontId="0" fillId="0" borderId="0" xfId="0" quotePrefix="1" applyNumberFormat="1" applyAlignment="1"/>
    <xf numFmtId="0" fontId="3" fillId="17" borderId="28" xfId="0" applyFont="1" applyFill="1" applyBorder="1" applyAlignment="1">
      <alignment horizontal="center" vertical="center" shrinkToFit="1"/>
    </xf>
    <xf numFmtId="0" fontId="3" fillId="0" borderId="50" xfId="0" applyFont="1" applyFill="1" applyBorder="1" applyAlignment="1">
      <alignment vertical="top" wrapText="1"/>
    </xf>
    <xf numFmtId="0" fontId="3" fillId="0" borderId="39" xfId="0" applyFont="1" applyFill="1" applyBorder="1" applyAlignment="1">
      <alignment horizontal="left" vertical="top" shrinkToFit="1"/>
    </xf>
    <xf numFmtId="0" fontId="40" fillId="0" borderId="26" xfId="0" applyFont="1" applyFill="1" applyBorder="1" applyAlignment="1">
      <alignment horizontal="justify" vertical="center" wrapText="1"/>
    </xf>
    <xf numFmtId="0" fontId="3" fillId="17" borderId="26" xfId="0" applyFont="1" applyFill="1" applyBorder="1" applyAlignment="1">
      <alignment horizontal="center" vertical="center" shrinkToFit="1"/>
    </xf>
    <xf numFmtId="0" fontId="3" fillId="17" borderId="12" xfId="0" applyFont="1" applyFill="1" applyBorder="1" applyAlignment="1">
      <alignment horizontal="center" vertical="center" wrapText="1"/>
    </xf>
    <xf numFmtId="0" fontId="3" fillId="17" borderId="88" xfId="0" applyFont="1" applyFill="1" applyBorder="1" applyAlignment="1">
      <alignment horizontal="center" vertical="center" wrapText="1"/>
    </xf>
    <xf numFmtId="0" fontId="3" fillId="0" borderId="44" xfId="0" applyFont="1" applyFill="1" applyBorder="1" applyAlignment="1">
      <alignment vertical="top" wrapText="1" shrinkToFit="1"/>
    </xf>
    <xf numFmtId="49" fontId="25" fillId="0" borderId="39" xfId="0" applyNumberFormat="1" applyFont="1" applyFill="1" applyBorder="1" applyAlignment="1">
      <alignment horizontal="center" vertical="center" wrapText="1"/>
    </xf>
    <xf numFmtId="0" fontId="3" fillId="17" borderId="12" xfId="0" applyFont="1" applyFill="1" applyBorder="1" applyAlignment="1">
      <alignment horizontal="center" vertical="center" shrinkToFit="1"/>
    </xf>
    <xf numFmtId="49" fontId="3" fillId="17" borderId="12" xfId="0" applyNumberFormat="1" applyFont="1" applyFill="1" applyBorder="1" applyAlignment="1">
      <alignment horizontal="center" vertical="center" wrapText="1"/>
    </xf>
    <xf numFmtId="0" fontId="3" fillId="0" borderId="17" xfId="0" applyFont="1" applyFill="1" applyBorder="1" applyAlignment="1">
      <alignment horizontal="left" vertical="top" wrapText="1" shrinkToFit="1"/>
    </xf>
    <xf numFmtId="0" fontId="3" fillId="0" borderId="12" xfId="0" applyFont="1" applyFill="1" applyBorder="1" applyAlignment="1">
      <alignment vertical="top" wrapText="1"/>
    </xf>
    <xf numFmtId="0" fontId="3" fillId="0" borderId="12" xfId="0" applyFont="1" applyFill="1" applyBorder="1" applyAlignment="1">
      <alignment vertical="top" shrinkToFit="1"/>
    </xf>
    <xf numFmtId="0" fontId="3" fillId="0" borderId="12" xfId="0" applyFont="1" applyFill="1" applyBorder="1" applyAlignment="1">
      <alignment horizontal="left" vertical="top" wrapText="1"/>
    </xf>
    <xf numFmtId="0" fontId="3" fillId="0" borderId="12" xfId="0" applyFont="1" applyFill="1" applyBorder="1" applyAlignment="1">
      <alignment horizontal="left" vertical="top" shrinkToFit="1"/>
    </xf>
    <xf numFmtId="0" fontId="3" fillId="0" borderId="26" xfId="0" applyFont="1" applyFill="1" applyBorder="1" applyAlignment="1">
      <alignment vertical="top" shrinkToFit="1"/>
    </xf>
    <xf numFmtId="0" fontId="3" fillId="0" borderId="17" xfId="0" applyFont="1" applyBorder="1" applyAlignment="1">
      <alignment vertical="top" shrinkToFit="1"/>
    </xf>
    <xf numFmtId="0" fontId="3" fillId="0" borderId="12" xfId="0" applyFont="1" applyBorder="1" applyAlignment="1">
      <alignment vertical="top" shrinkToFit="1"/>
    </xf>
    <xf numFmtId="49" fontId="3" fillId="0" borderId="12" xfId="0" applyNumberFormat="1" applyFont="1" applyFill="1" applyBorder="1" applyAlignment="1">
      <alignment horizontal="center" vertical="top" wrapText="1"/>
    </xf>
    <xf numFmtId="0" fontId="3" fillId="0" borderId="26" xfId="0" applyFont="1" applyFill="1" applyBorder="1" applyAlignment="1">
      <alignment horizontal="left" vertical="top" shrinkToFit="1"/>
    </xf>
    <xf numFmtId="0" fontId="3" fillId="0" borderId="45" xfId="0" applyFont="1" applyFill="1" applyBorder="1" applyAlignment="1">
      <alignment vertical="top" shrinkToFit="1"/>
    </xf>
    <xf numFmtId="0" fontId="3" fillId="0" borderId="26" xfId="0" applyFont="1" applyFill="1" applyBorder="1" applyAlignment="1">
      <alignment vertical="top" wrapText="1" shrinkToFit="1"/>
    </xf>
    <xf numFmtId="0" fontId="3" fillId="0" borderId="50" xfId="0" applyFont="1" applyFill="1" applyBorder="1" applyAlignment="1">
      <alignment horizontal="center" vertical="center" textRotation="90" shrinkToFit="1"/>
    </xf>
    <xf numFmtId="49" fontId="25" fillId="0" borderId="12" xfId="0" applyNumberFormat="1" applyFont="1" applyFill="1" applyBorder="1" applyAlignment="1">
      <alignment horizontal="center" vertical="center" wrapText="1"/>
    </xf>
    <xf numFmtId="0" fontId="3" fillId="0" borderId="0" xfId="0" applyFont="1" applyFill="1" applyBorder="1" applyAlignment="1">
      <alignment vertical="top" wrapText="1"/>
    </xf>
    <xf numFmtId="0" fontId="3" fillId="0" borderId="50" xfId="0" applyFont="1" applyFill="1" applyBorder="1" applyAlignment="1">
      <alignment horizontal="center" textRotation="90" shrinkToFit="1"/>
    </xf>
    <xf numFmtId="0" fontId="3" fillId="0" borderId="50" xfId="0" applyFont="1" applyFill="1" applyBorder="1" applyAlignment="1">
      <alignment horizontal="center" vertical="top" textRotation="90" shrinkToFit="1"/>
    </xf>
    <xf numFmtId="0" fontId="3" fillId="0" borderId="39" xfId="0" applyFont="1" applyFill="1" applyBorder="1" applyAlignment="1">
      <alignment vertical="top" wrapText="1"/>
    </xf>
    <xf numFmtId="0" fontId="3" fillId="0" borderId="63" xfId="0" applyFont="1" applyFill="1" applyBorder="1" applyAlignment="1">
      <alignment horizontal="center" vertical="center" textRotation="90" shrinkToFit="1"/>
    </xf>
    <xf numFmtId="0" fontId="41" fillId="0" borderId="12" xfId="0" applyFont="1" applyFill="1" applyBorder="1" applyAlignment="1">
      <alignment horizontal="left" vertical="center" wrapText="1"/>
    </xf>
    <xf numFmtId="0" fontId="30" fillId="18" borderId="16" xfId="0" applyFont="1" applyFill="1" applyBorder="1" applyAlignment="1">
      <alignment horizontal="center" vertical="center" shrinkToFit="1"/>
    </xf>
    <xf numFmtId="0" fontId="3" fillId="0" borderId="20" xfId="0" applyFont="1" applyFill="1" applyBorder="1" applyAlignment="1">
      <alignment horizontal="left" vertical="top" wrapText="1" shrinkToFit="1"/>
    </xf>
    <xf numFmtId="0" fontId="3" fillId="0" borderId="26" xfId="0" applyFont="1" applyFill="1" applyBorder="1" applyAlignment="1">
      <alignment horizontal="left" vertical="top" wrapText="1" shrinkToFit="1"/>
    </xf>
    <xf numFmtId="0"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0" fillId="20" borderId="84" xfId="247" applyFont="1" applyFill="1" applyBorder="1" applyAlignment="1" applyProtection="1">
      <alignment horizontal="center" vertical="center" shrinkToFit="1"/>
      <protection locked="0"/>
    </xf>
    <xf numFmtId="49" fontId="3" fillId="0" borderId="20"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0" fontId="3" fillId="23" borderId="31" xfId="0" applyFont="1" applyFill="1" applyBorder="1" applyAlignment="1">
      <alignment horizontal="center" vertical="center" textRotation="90" wrapText="1"/>
    </xf>
    <xf numFmtId="0" fontId="3" fillId="23" borderId="48" xfId="0" applyFont="1" applyFill="1" applyBorder="1" applyAlignment="1">
      <alignment horizontal="center" vertical="center" textRotation="90" wrapText="1"/>
    </xf>
    <xf numFmtId="0" fontId="3" fillId="0" borderId="20"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21" fillId="0" borderId="20" xfId="0" applyFont="1" applyFill="1" applyBorder="1" applyAlignment="1">
      <alignment horizontal="left" vertical="top" wrapText="1"/>
    </xf>
    <xf numFmtId="0" fontId="21" fillId="0" borderId="29" xfId="0" applyFont="1" applyFill="1" applyBorder="1" applyAlignment="1">
      <alignment horizontal="left" vertical="top" wrapText="1"/>
    </xf>
    <xf numFmtId="0" fontId="3" fillId="22" borderId="50" xfId="247" applyFont="1" applyFill="1" applyBorder="1" applyAlignment="1">
      <alignment horizontal="center" vertical="center" textRotation="90" shrinkToFit="1"/>
    </xf>
    <xf numFmtId="49" fontId="3" fillId="0" borderId="12" xfId="0" applyNumberFormat="1" applyFont="1" applyFill="1" applyBorder="1" applyAlignment="1">
      <alignment horizontal="center" vertical="center" wrapText="1"/>
    </xf>
    <xf numFmtId="0" fontId="24" fillId="0" borderId="45" xfId="0" applyFont="1" applyFill="1" applyBorder="1" applyAlignment="1">
      <alignment horizontal="left" vertical="top" wrapText="1"/>
    </xf>
    <xf numFmtId="0" fontId="24" fillId="0" borderId="29" xfId="0" applyFont="1" applyFill="1" applyBorder="1" applyAlignment="1">
      <alignment horizontal="left" vertical="top" wrapText="1"/>
    </xf>
    <xf numFmtId="0" fontId="3" fillId="0" borderId="0"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3" fillId="0" borderId="45" xfId="0" applyFont="1" applyFill="1" applyBorder="1" applyAlignment="1">
      <alignment horizontal="left" vertical="top" wrapText="1" shrinkToFit="1"/>
    </xf>
    <xf numFmtId="0" fontId="3" fillId="0" borderId="29" xfId="0" applyFont="1" applyFill="1" applyBorder="1" applyAlignment="1">
      <alignment horizontal="left" vertical="top" wrapText="1" shrinkToFit="1"/>
    </xf>
    <xf numFmtId="0" fontId="26" fillId="0" borderId="23" xfId="0" applyFont="1" applyFill="1" applyBorder="1" applyAlignment="1">
      <alignment horizontal="center" vertical="center" textRotation="90" shrinkToFit="1"/>
    </xf>
    <xf numFmtId="0" fontId="26" fillId="0" borderId="85" xfId="0" applyFont="1" applyFill="1" applyBorder="1" applyAlignment="1">
      <alignment horizontal="center" vertical="center" textRotation="90" shrinkToFit="1"/>
    </xf>
    <xf numFmtId="0"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0" fillId="19" borderId="49" xfId="0" applyFont="1" applyFill="1" applyBorder="1" applyAlignment="1">
      <alignment horizontal="center" vertical="center" wrapText="1" shrinkToFit="1"/>
    </xf>
    <xf numFmtId="0" fontId="30" fillId="19" borderId="69" xfId="0" applyFont="1" applyFill="1" applyBorder="1" applyAlignment="1">
      <alignment horizontal="center" vertical="center" wrapText="1" shrinkToFit="1"/>
    </xf>
    <xf numFmtId="0" fontId="3" fillId="23" borderId="63" xfId="0" applyFont="1" applyFill="1" applyBorder="1" applyAlignment="1">
      <alignment horizontal="center" vertical="center" textRotation="90" wrapText="1"/>
    </xf>
    <xf numFmtId="0" fontId="3" fillId="0" borderId="10" xfId="0" applyNumberFormat="1" applyFont="1" applyFill="1" applyBorder="1" applyAlignment="1">
      <alignment horizontal="center" vertical="center" wrapText="1"/>
    </xf>
    <xf numFmtId="49" fontId="3" fillId="0" borderId="62" xfId="0" applyNumberFormat="1" applyFont="1" applyFill="1" applyBorder="1" applyAlignment="1">
      <alignment horizontal="center" vertical="center" wrapText="1"/>
    </xf>
    <xf numFmtId="0" fontId="30" fillId="19" borderId="74" xfId="0" applyFont="1" applyFill="1" applyBorder="1" applyAlignment="1">
      <alignment horizontal="center" vertical="center" wrapText="1" shrinkToFit="1"/>
    </xf>
    <xf numFmtId="0" fontId="30" fillId="19" borderId="75" xfId="0" applyFont="1" applyFill="1" applyBorder="1" applyAlignment="1">
      <alignment horizontal="center" vertical="center" wrapText="1" shrinkToFit="1"/>
    </xf>
    <xf numFmtId="0" fontId="3" fillId="0" borderId="31" xfId="0" applyFont="1" applyFill="1" applyBorder="1" applyAlignment="1">
      <alignment horizontal="center" vertical="center" textRotation="90" shrinkToFit="1"/>
    </xf>
    <xf numFmtId="0" fontId="3" fillId="0" borderId="63" xfId="0" applyFont="1" applyFill="1" applyBorder="1" applyAlignment="1">
      <alignment horizontal="center" vertical="center" textRotation="90" shrinkToFit="1"/>
    </xf>
    <xf numFmtId="0" fontId="3" fillId="23" borderId="50" xfId="0" applyFont="1" applyFill="1" applyBorder="1" applyAlignment="1">
      <alignment horizontal="center" vertical="center" textRotation="90" wrapText="1"/>
    </xf>
    <xf numFmtId="0" fontId="22" fillId="0" borderId="36" xfId="0" applyFont="1" applyBorder="1" applyAlignment="1">
      <alignment horizontal="center" vertical="top" wrapText="1"/>
    </xf>
    <xf numFmtId="0" fontId="23" fillId="0" borderId="36" xfId="0" applyFont="1" applyBorder="1" applyAlignment="1">
      <alignment wrapText="1"/>
    </xf>
    <xf numFmtId="0" fontId="23" fillId="0" borderId="42" xfId="0" applyFont="1" applyBorder="1" applyAlignment="1">
      <alignment wrapText="1"/>
    </xf>
    <xf numFmtId="0" fontId="3" fillId="0" borderId="51" xfId="0" applyFont="1" applyFill="1" applyBorder="1" applyAlignment="1">
      <alignment horizontal="center" vertical="center" textRotation="90" shrinkToFit="1"/>
    </xf>
    <xf numFmtId="0" fontId="3" fillId="0" borderId="50" xfId="0" applyFont="1" applyFill="1" applyBorder="1" applyAlignment="1">
      <alignment horizontal="center" vertical="center" textRotation="90" shrinkToFit="1"/>
    </xf>
    <xf numFmtId="49" fontId="3" fillId="0" borderId="17"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0" fontId="3" fillId="23" borderId="51" xfId="0" applyFont="1" applyFill="1" applyBorder="1" applyAlignment="1">
      <alignment horizontal="center" vertical="center" textRotation="90" wrapText="1"/>
    </xf>
    <xf numFmtId="0" fontId="3" fillId="0" borderId="17" xfId="0" applyNumberFormat="1" applyFont="1" applyFill="1" applyBorder="1" applyAlignment="1">
      <alignment horizontal="center" vertical="center" wrapText="1"/>
    </xf>
    <xf numFmtId="0" fontId="30" fillId="19" borderId="16" xfId="0" applyFont="1" applyFill="1" applyBorder="1" applyAlignment="1">
      <alignment horizontal="center" vertical="center" wrapText="1" shrinkToFit="1"/>
    </xf>
    <xf numFmtId="0" fontId="30" fillId="19" borderId="47" xfId="0" applyFont="1" applyFill="1" applyBorder="1" applyAlignment="1">
      <alignment horizontal="center" vertical="center" wrapText="1" shrinkToFit="1"/>
    </xf>
    <xf numFmtId="0" fontId="30" fillId="19" borderId="46" xfId="0" applyFont="1" applyFill="1" applyBorder="1" applyAlignment="1">
      <alignment horizontal="center" vertical="center" wrapText="1" shrinkToFit="1"/>
    </xf>
    <xf numFmtId="0" fontId="3" fillId="26" borderId="31" xfId="0" applyFont="1" applyFill="1" applyBorder="1" applyAlignment="1">
      <alignment horizontal="center" vertical="center" textRotation="90" wrapText="1"/>
    </xf>
    <xf numFmtId="0" fontId="3" fillId="26" borderId="48" xfId="0" applyFont="1" applyFill="1" applyBorder="1" applyAlignment="1">
      <alignment horizontal="center" vertical="center" textRotation="90" wrapText="1"/>
    </xf>
    <xf numFmtId="49" fontId="51" fillId="26" borderId="10" xfId="0" applyNumberFormat="1" applyFont="1" applyFill="1" applyBorder="1" applyAlignment="1">
      <alignment horizontal="center" vertical="center" wrapText="1"/>
    </xf>
    <xf numFmtId="49" fontId="51" fillId="26" borderId="13" xfId="0" applyNumberFormat="1" applyFont="1" applyFill="1" applyBorder="1" applyAlignment="1">
      <alignment horizontal="center" vertical="center" wrapText="1"/>
    </xf>
    <xf numFmtId="0" fontId="30" fillId="19" borderId="84" xfId="0" applyFont="1" applyFill="1" applyBorder="1" applyAlignment="1">
      <alignment horizontal="center" vertical="center" wrapText="1" shrinkToFit="1"/>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22" borderId="48" xfId="247" applyFont="1" applyFill="1" applyBorder="1" applyAlignment="1">
      <alignment horizontal="center" vertical="center" textRotation="90" shrinkToFit="1"/>
    </xf>
    <xf numFmtId="0" fontId="3" fillId="21" borderId="10" xfId="0" applyNumberFormat="1" applyFont="1" applyFill="1" applyBorder="1" applyAlignment="1">
      <alignment horizontal="center" vertical="center" wrapText="1"/>
    </xf>
    <xf numFmtId="177" fontId="3" fillId="21"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27" borderId="23" xfId="0" applyFont="1" applyFill="1" applyBorder="1" applyAlignment="1">
      <alignment horizontal="center" vertical="center" textRotation="90" wrapText="1"/>
    </xf>
    <xf numFmtId="0" fontId="3" fillId="27" borderId="28" xfId="0" applyFont="1" applyFill="1" applyBorder="1" applyAlignment="1">
      <alignment horizontal="center" vertical="center" textRotation="90" wrapText="1"/>
    </xf>
    <xf numFmtId="0" fontId="30" fillId="19" borderId="22" xfId="0" applyFont="1" applyFill="1" applyBorder="1" applyAlignment="1">
      <alignment horizontal="center" vertical="center" wrapText="1" shrinkToFit="1"/>
    </xf>
    <xf numFmtId="0" fontId="3" fillId="22" borderId="77" xfId="247" applyFont="1" applyFill="1" applyBorder="1" applyAlignment="1">
      <alignment horizontal="center" vertical="center" textRotation="90" shrinkToFit="1"/>
    </xf>
    <xf numFmtId="0" fontId="3" fillId="22" borderId="78" xfId="247" applyFont="1" applyFill="1" applyBorder="1" applyAlignment="1">
      <alignment horizontal="center" vertical="center" textRotation="90" shrinkToFit="1"/>
    </xf>
    <xf numFmtId="0" fontId="26" fillId="0" borderId="31" xfId="0" applyFont="1" applyFill="1" applyBorder="1" applyAlignment="1">
      <alignment horizontal="center" vertical="center" textRotation="90" shrinkToFit="1"/>
    </xf>
    <xf numFmtId="0" fontId="26" fillId="0" borderId="48" xfId="0" applyFont="1" applyFill="1" applyBorder="1" applyAlignment="1">
      <alignment horizontal="center" vertical="center" textRotation="90" shrinkToFit="1"/>
    </xf>
    <xf numFmtId="0" fontId="3" fillId="23" borderId="60" xfId="0" applyFont="1" applyFill="1" applyBorder="1" applyAlignment="1">
      <alignment horizontal="center" vertical="center" textRotation="90" wrapText="1"/>
    </xf>
    <xf numFmtId="0" fontId="30" fillId="20" borderId="49" xfId="247" applyFont="1" applyFill="1" applyBorder="1" applyAlignment="1" applyProtection="1">
      <alignment horizontal="center" vertical="center" shrinkToFit="1"/>
      <protection locked="0"/>
    </xf>
    <xf numFmtId="0" fontId="30" fillId="20" borderId="52" xfId="247" applyFont="1" applyFill="1" applyBorder="1" applyAlignment="1" applyProtection="1">
      <alignment horizontal="center" vertical="center" shrinkToFit="1"/>
      <protection locked="0"/>
    </xf>
    <xf numFmtId="0" fontId="3" fillId="0" borderId="60" xfId="0" applyFont="1" applyFill="1" applyBorder="1" applyAlignment="1">
      <alignment horizontal="center" vertical="center" textRotation="90" shrinkToFit="1"/>
    </xf>
    <xf numFmtId="0" fontId="3" fillId="0" borderId="61" xfId="0" applyFont="1" applyFill="1" applyBorder="1" applyAlignment="1">
      <alignment horizontal="center" vertical="center" textRotation="90" shrinkToFit="1"/>
    </xf>
    <xf numFmtId="0" fontId="30" fillId="19" borderId="37" xfId="0" applyFont="1" applyFill="1" applyBorder="1" applyAlignment="1">
      <alignment horizontal="center" vertical="center" wrapText="1" shrinkToFit="1"/>
    </xf>
    <xf numFmtId="49" fontId="36" fillId="26" borderId="10" xfId="0" applyNumberFormat="1" applyFont="1" applyFill="1" applyBorder="1" applyAlignment="1">
      <alignment horizontal="center" vertical="center" wrapText="1"/>
    </xf>
    <xf numFmtId="49" fontId="36" fillId="26" borderId="12" xfId="0" applyNumberFormat="1" applyFont="1" applyFill="1" applyBorder="1" applyAlignment="1">
      <alignment horizontal="center" vertical="center" wrapText="1"/>
    </xf>
    <xf numFmtId="49" fontId="3" fillId="0" borderId="55"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0" fontId="3" fillId="0" borderId="78" xfId="0" applyFont="1" applyFill="1" applyBorder="1" applyAlignment="1">
      <alignment horizontal="center" vertical="center" textRotation="90" shrinkToFit="1"/>
    </xf>
    <xf numFmtId="0" fontId="3" fillId="0" borderId="59" xfId="0" applyFont="1" applyFill="1" applyBorder="1" applyAlignment="1">
      <alignment horizontal="center" vertical="center" textRotation="90" shrinkToFit="1"/>
    </xf>
    <xf numFmtId="0" fontId="3" fillId="0" borderId="48" xfId="0" applyFont="1" applyFill="1" applyBorder="1" applyAlignment="1">
      <alignment horizontal="center" vertical="center" textRotation="90" shrinkToFit="1"/>
    </xf>
    <xf numFmtId="0" fontId="3" fillId="0" borderId="77" xfId="0" applyFont="1" applyFill="1" applyBorder="1" applyAlignment="1">
      <alignment horizontal="center" vertical="center" textRotation="90" shrinkToFit="1"/>
    </xf>
    <xf numFmtId="0" fontId="3" fillId="17"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54" xfId="0" applyBorder="1" applyAlignment="1">
      <alignment horizontal="center" vertical="center" wrapText="1"/>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33" fillId="0" borderId="17"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 fillId="0" borderId="18" xfId="0" applyFont="1" applyFill="1" applyBorder="1" applyAlignment="1">
      <alignment horizontal="center" vertical="top" shrinkToFit="1"/>
    </xf>
    <xf numFmtId="0" fontId="3" fillId="0" borderId="27" xfId="0" applyFont="1" applyFill="1" applyBorder="1" applyAlignment="1">
      <alignment horizontal="center" vertical="top" shrinkToFit="1"/>
    </xf>
    <xf numFmtId="0" fontId="33" fillId="0" borderId="10" xfId="0" applyFont="1" applyFill="1" applyBorder="1" applyAlignment="1">
      <alignment horizontal="center" vertical="center" wrapText="1"/>
    </xf>
    <xf numFmtId="0" fontId="33" fillId="0" borderId="6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62" xfId="0" applyFont="1" applyFill="1" applyBorder="1" applyAlignment="1">
      <alignment horizontal="center" vertical="center"/>
    </xf>
    <xf numFmtId="49" fontId="3" fillId="0" borderId="10" xfId="0" applyNumberFormat="1" applyFont="1" applyFill="1" applyBorder="1" applyAlignment="1">
      <alignment horizontal="center" vertical="top" wrapText="1"/>
    </xf>
    <xf numFmtId="49" fontId="3" fillId="0" borderId="62" xfId="0" applyNumberFormat="1" applyFont="1" applyFill="1" applyBorder="1" applyAlignment="1">
      <alignment horizontal="center" vertical="top" wrapText="1"/>
    </xf>
    <xf numFmtId="49" fontId="3" fillId="21" borderId="13" xfId="0" applyNumberFormat="1" applyFont="1" applyFill="1" applyBorder="1" applyAlignment="1">
      <alignment horizontal="center" vertical="center" wrapText="1"/>
    </xf>
    <xf numFmtId="49" fontId="3" fillId="21" borderId="57" xfId="0" applyNumberFormat="1" applyFont="1" applyFill="1" applyBorder="1" applyAlignment="1">
      <alignment horizontal="center" vertical="center" wrapText="1"/>
    </xf>
    <xf numFmtId="49" fontId="3" fillId="21" borderId="56" xfId="0" applyNumberFormat="1" applyFont="1" applyFill="1" applyBorder="1" applyAlignment="1">
      <alignment horizontal="center" vertical="center" wrapText="1"/>
    </xf>
    <xf numFmtId="0" fontId="52" fillId="19" borderId="84" xfId="0" applyFont="1" applyFill="1" applyBorder="1" applyAlignment="1">
      <alignment horizontal="center" vertical="center" shrinkToFit="1"/>
    </xf>
    <xf numFmtId="49" fontId="3" fillId="0" borderId="13" xfId="0" applyNumberFormat="1" applyFont="1" applyFill="1" applyBorder="1" applyAlignment="1">
      <alignment horizontal="center" vertical="top" wrapText="1"/>
    </xf>
    <xf numFmtId="0" fontId="23" fillId="20" borderId="11" xfId="0" applyFont="1" applyFill="1" applyBorder="1" applyAlignment="1" applyProtection="1">
      <alignment horizontal="center" wrapText="1"/>
      <protection locked="0"/>
    </xf>
    <xf numFmtId="0" fontId="3" fillId="17" borderId="33" xfId="0" applyFont="1" applyFill="1" applyBorder="1" applyAlignment="1">
      <alignment horizontal="center" vertical="center" wrapText="1"/>
    </xf>
    <xf numFmtId="0" fontId="3" fillId="17" borderId="34" xfId="0" applyFont="1" applyFill="1" applyBorder="1" applyAlignment="1">
      <alignment horizontal="center" vertical="center" wrapText="1"/>
    </xf>
    <xf numFmtId="0" fontId="30" fillId="19" borderId="76" xfId="0" applyFont="1" applyFill="1" applyBorder="1" applyAlignment="1">
      <alignment horizontal="center" vertical="center" wrapText="1" shrinkToFit="1"/>
    </xf>
    <xf numFmtId="0" fontId="30" fillId="19" borderId="72" xfId="0" applyFont="1" applyFill="1" applyBorder="1" applyAlignment="1">
      <alignment horizontal="center" vertical="center" wrapText="1" shrinkToFit="1"/>
    </xf>
    <xf numFmtId="0" fontId="30" fillId="19" borderId="73" xfId="0" applyFont="1" applyFill="1" applyBorder="1" applyAlignment="1">
      <alignment horizontal="center" vertical="center" wrapText="1" shrinkToFit="1"/>
    </xf>
    <xf numFmtId="0" fontId="52" fillId="19" borderId="52" xfId="0" applyFont="1" applyFill="1" applyBorder="1" applyAlignment="1">
      <alignment horizontal="center" vertical="center" shrinkToFit="1"/>
    </xf>
    <xf numFmtId="49" fontId="37" fillId="26" borderId="57" xfId="0" applyNumberFormat="1" applyFont="1" applyFill="1" applyBorder="1" applyAlignment="1">
      <alignment horizontal="center" vertical="center" wrapText="1"/>
    </xf>
    <xf numFmtId="49" fontId="37" fillId="26" borderId="56" xfId="0" applyNumberFormat="1" applyFont="1" applyFill="1" applyBorder="1" applyAlignment="1">
      <alignment horizontal="center" vertical="center" wrapText="1"/>
    </xf>
    <xf numFmtId="0" fontId="3" fillId="0" borderId="57" xfId="0" applyFont="1" applyFill="1" applyBorder="1" applyAlignment="1">
      <alignment horizontal="center" vertical="top" shrinkToFit="1"/>
    </xf>
    <xf numFmtId="0" fontId="3" fillId="0" borderId="56" xfId="0" applyFont="1" applyFill="1" applyBorder="1" applyAlignment="1">
      <alignment horizontal="center" vertical="top" shrinkToFit="1"/>
    </xf>
    <xf numFmtId="0" fontId="23" fillId="0" borderId="11" xfId="0" applyFont="1" applyBorder="1" applyAlignment="1">
      <alignment horizontal="center" wrapText="1"/>
    </xf>
    <xf numFmtId="0" fontId="3" fillId="17" borderId="43" xfId="0" applyFont="1" applyFill="1" applyBorder="1" applyAlignment="1">
      <alignment horizontal="center" vertical="center" wrapText="1"/>
    </xf>
    <xf numFmtId="0" fontId="30" fillId="20" borderId="47" xfId="247" applyFont="1" applyFill="1" applyBorder="1" applyAlignment="1" applyProtection="1">
      <alignment horizontal="center" vertical="center" shrinkToFit="1"/>
      <protection locked="0"/>
    </xf>
    <xf numFmtId="0" fontId="30" fillId="20" borderId="95" xfId="247" applyFont="1" applyFill="1" applyBorder="1" applyAlignment="1" applyProtection="1">
      <alignment horizontal="center" vertical="center" shrinkToFit="1"/>
      <protection locked="0"/>
    </xf>
    <xf numFmtId="0" fontId="30" fillId="20" borderId="72" xfId="247" applyFont="1" applyFill="1" applyBorder="1" applyAlignment="1" applyProtection="1">
      <alignment horizontal="center" vertical="center" shrinkToFit="1"/>
      <protection locked="0"/>
    </xf>
    <xf numFmtId="0" fontId="30" fillId="20" borderId="22" xfId="247" applyFont="1" applyFill="1" applyBorder="1" applyAlignment="1" applyProtection="1">
      <alignment horizontal="center" vertical="center" shrinkToFit="1"/>
      <protection locked="0"/>
    </xf>
    <xf numFmtId="0" fontId="3" fillId="27" borderId="68" xfId="0" applyFont="1" applyFill="1" applyBorder="1" applyAlignment="1">
      <alignment horizontal="center" vertical="center" textRotation="90" wrapText="1"/>
    </xf>
    <xf numFmtId="0" fontId="3" fillId="27" borderId="60" xfId="0" applyFont="1" applyFill="1" applyBorder="1" applyAlignment="1">
      <alignment horizontal="center" vertical="center" textRotation="90" wrapText="1"/>
    </xf>
    <xf numFmtId="0" fontId="3" fillId="0" borderId="30" xfId="247" applyNumberFormat="1" applyFont="1" applyFill="1" applyBorder="1" applyAlignment="1">
      <alignment horizontal="center" vertical="center" wrapText="1"/>
    </xf>
    <xf numFmtId="49" fontId="3" fillId="0" borderId="11" xfId="247" applyNumberFormat="1" applyFont="1" applyFill="1" applyBorder="1" applyAlignment="1">
      <alignment horizontal="center" vertical="center" wrapText="1"/>
    </xf>
    <xf numFmtId="0" fontId="30" fillId="19" borderId="86" xfId="0" applyFont="1" applyFill="1" applyBorder="1" applyAlignment="1">
      <alignment horizontal="center" vertical="center" wrapText="1" shrinkToFit="1"/>
    </xf>
    <xf numFmtId="0" fontId="3" fillId="0" borderId="82" xfId="0" applyFont="1" applyFill="1" applyBorder="1" applyAlignment="1">
      <alignment horizontal="center" vertical="top" shrinkToFit="1"/>
    </xf>
    <xf numFmtId="0" fontId="3" fillId="0" borderId="83" xfId="0" applyFont="1" applyFill="1" applyBorder="1" applyAlignment="1">
      <alignment horizontal="center" vertical="top" shrinkToFit="1"/>
    </xf>
    <xf numFmtId="0" fontId="3" fillId="28" borderId="20" xfId="0" applyNumberFormat="1" applyFont="1" applyFill="1" applyBorder="1" applyAlignment="1">
      <alignment horizontal="center" vertical="center" wrapText="1"/>
    </xf>
    <xf numFmtId="49" fontId="3" fillId="28" borderId="26" xfId="0" applyNumberFormat="1"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22" xfId="0" applyBorder="1" applyAlignment="1">
      <alignment wrapText="1"/>
    </xf>
    <xf numFmtId="0" fontId="3" fillId="0" borderId="16" xfId="0" applyFont="1" applyBorder="1" applyAlignment="1">
      <alignment horizontal="center" vertical="center" wrapText="1"/>
    </xf>
    <xf numFmtId="0" fontId="30" fillId="19" borderId="71" xfId="0" applyFont="1" applyFill="1" applyBorder="1" applyAlignment="1">
      <alignment horizontal="center" vertical="center" wrapText="1" shrinkToFit="1"/>
    </xf>
    <xf numFmtId="49" fontId="37" fillId="26" borderId="10" xfId="0" applyNumberFormat="1" applyFont="1" applyFill="1" applyBorder="1" applyAlignment="1">
      <alignment horizontal="center" vertical="center" wrapText="1"/>
    </xf>
    <xf numFmtId="49" fontId="37" fillId="26" borderId="13"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3" fillId="26" borderId="51" xfId="247" applyFont="1" applyFill="1" applyBorder="1" applyAlignment="1">
      <alignment horizontal="center" vertical="center" textRotation="90" shrinkToFit="1"/>
    </xf>
    <xf numFmtId="0" fontId="3" fillId="26" borderId="48" xfId="247" applyFont="1" applyFill="1" applyBorder="1" applyAlignment="1">
      <alignment horizontal="center" vertical="center" textRotation="90" shrinkToFit="1"/>
    </xf>
    <xf numFmtId="0" fontId="39" fillId="0" borderId="12" xfId="0" applyFont="1" applyFill="1" applyBorder="1" applyAlignment="1">
      <alignment horizontal="center" vertical="center" wrapText="1"/>
    </xf>
    <xf numFmtId="0" fontId="30" fillId="20" borderId="90" xfId="247" applyFont="1" applyFill="1" applyBorder="1" applyAlignment="1" applyProtection="1">
      <alignment horizontal="center" vertical="center" shrinkToFit="1"/>
      <protection locked="0"/>
    </xf>
    <xf numFmtId="0" fontId="3" fillId="0" borderId="66" xfId="0" applyFont="1" applyFill="1" applyBorder="1" applyAlignment="1">
      <alignment horizontal="center" vertical="center" textRotation="90" wrapText="1"/>
    </xf>
    <xf numFmtId="0" fontId="3" fillId="0" borderId="67" xfId="0" applyFont="1" applyFill="1" applyBorder="1" applyAlignment="1">
      <alignment horizontal="center" vertical="center" textRotation="90" wrapText="1"/>
    </xf>
    <xf numFmtId="0" fontId="3" fillId="28" borderId="31" xfId="0" applyFont="1" applyFill="1" applyBorder="1" applyAlignment="1">
      <alignment horizontal="center" vertical="center" textRotation="90" wrapText="1"/>
    </xf>
    <xf numFmtId="0" fontId="3" fillId="28" borderId="50" xfId="0" applyFont="1" applyFill="1" applyBorder="1" applyAlignment="1">
      <alignment horizontal="center" vertical="center" textRotation="90" wrapText="1"/>
    </xf>
    <xf numFmtId="0" fontId="3" fillId="25" borderId="48" xfId="0" applyFont="1" applyFill="1" applyBorder="1" applyAlignment="1">
      <alignment horizontal="center" vertical="center" textRotation="90" wrapText="1"/>
    </xf>
    <xf numFmtId="0" fontId="3" fillId="25" borderId="70" xfId="0" applyFont="1" applyFill="1" applyBorder="1" applyAlignment="1">
      <alignment horizontal="center" vertical="center" textRotation="90" wrapText="1"/>
    </xf>
    <xf numFmtId="49" fontId="3" fillId="0" borderId="58" xfId="0" applyNumberFormat="1" applyFont="1" applyFill="1" applyBorder="1" applyAlignment="1">
      <alignment horizontal="center" vertical="center" wrapText="1"/>
    </xf>
    <xf numFmtId="0" fontId="30" fillId="20" borderId="69" xfId="247" applyFont="1" applyFill="1" applyBorder="1" applyAlignment="1" applyProtection="1">
      <alignment horizontal="center" vertical="center" shrinkToFit="1"/>
      <protection locked="0"/>
    </xf>
    <xf numFmtId="0" fontId="30" fillId="20" borderId="16" xfId="247" applyFont="1" applyFill="1" applyBorder="1" applyAlignment="1" applyProtection="1">
      <alignment horizontal="center" vertical="center" shrinkToFit="1"/>
      <protection locked="0"/>
    </xf>
    <xf numFmtId="0" fontId="3" fillId="0" borderId="26"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3" fillId="22" borderId="63" xfId="247" applyFont="1" applyFill="1" applyBorder="1" applyAlignment="1">
      <alignment horizontal="center" vertical="center" textRotation="90" shrinkToFit="1"/>
    </xf>
    <xf numFmtId="0" fontId="32" fillId="0" borderId="51" xfId="0" applyFont="1" applyFill="1" applyBorder="1" applyAlignment="1">
      <alignment horizontal="center" vertical="center" textRotation="90" wrapText="1"/>
    </xf>
    <xf numFmtId="0" fontId="32" fillId="0" borderId="48" xfId="0" applyFont="1" applyFill="1" applyBorder="1" applyAlignment="1">
      <alignment horizontal="center" vertical="center" textRotation="90" wrapText="1"/>
    </xf>
    <xf numFmtId="49" fontId="32" fillId="0" borderId="45" xfId="0" applyNumberFormat="1" applyFont="1" applyFill="1" applyBorder="1" applyAlignment="1">
      <alignment horizontal="center" vertical="center" wrapText="1"/>
    </xf>
    <xf numFmtId="49" fontId="32" fillId="0" borderId="29" xfId="0" applyNumberFormat="1" applyFont="1" applyFill="1" applyBorder="1" applyAlignment="1">
      <alignment horizontal="center" vertical="center" wrapText="1"/>
    </xf>
    <xf numFmtId="0" fontId="26" fillId="0" borderId="60" xfId="0" applyFont="1" applyFill="1" applyBorder="1" applyAlignment="1">
      <alignment horizontal="center" vertical="center" textRotation="90" shrinkToFit="1"/>
    </xf>
    <xf numFmtId="0" fontId="26" fillId="0" borderId="70" xfId="0" applyFont="1" applyFill="1" applyBorder="1" applyAlignment="1">
      <alignment horizontal="center" vertical="center" textRotation="90" shrinkToFi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49" fontId="3" fillId="28" borderId="57" xfId="0" applyNumberFormat="1" applyFont="1" applyFill="1" applyBorder="1" applyAlignment="1">
      <alignment horizontal="center" vertical="center" wrapText="1"/>
    </xf>
    <xf numFmtId="49" fontId="3" fillId="28" borderId="87" xfId="0" applyNumberFormat="1" applyFont="1" applyFill="1" applyBorder="1" applyAlignment="1">
      <alignment horizontal="center" vertical="center" wrapText="1"/>
    </xf>
    <xf numFmtId="0" fontId="3" fillId="23" borderId="68" xfId="0" applyFont="1" applyFill="1" applyBorder="1" applyAlignment="1">
      <alignment horizontal="center" vertical="center" textRotation="90" wrapText="1"/>
    </xf>
    <xf numFmtId="0" fontId="3" fillId="22" borderId="51" xfId="247" applyFont="1" applyFill="1" applyBorder="1" applyAlignment="1">
      <alignment horizontal="center" vertical="center" textRotation="90" shrinkToFit="1"/>
    </xf>
    <xf numFmtId="0" fontId="30" fillId="20" borderId="46" xfId="247" applyFont="1" applyFill="1" applyBorder="1" applyAlignment="1" applyProtection="1">
      <alignment horizontal="center" vertical="center" shrinkToFit="1"/>
      <protection locked="0"/>
    </xf>
    <xf numFmtId="0" fontId="27" fillId="20" borderId="23" xfId="0" applyFont="1" applyFill="1" applyBorder="1" applyAlignment="1" applyProtection="1">
      <alignment horizontal="center" vertical="center" wrapText="1"/>
      <protection locked="0"/>
    </xf>
    <xf numFmtId="0" fontId="0" fillId="0" borderId="38" xfId="0" applyBorder="1" applyAlignment="1">
      <alignment horizontal="center" vertical="center" wrapText="1"/>
    </xf>
    <xf numFmtId="0" fontId="27" fillId="20" borderId="21" xfId="0" applyFont="1" applyFill="1" applyBorder="1" applyAlignment="1" applyProtection="1">
      <alignment horizontal="center" vertical="center" shrinkToFit="1"/>
      <protection locked="0"/>
    </xf>
    <xf numFmtId="0" fontId="0" fillId="0" borderId="40" xfId="0" applyBorder="1" applyAlignment="1">
      <alignment horizontal="center" vertical="center" shrinkToFit="1"/>
    </xf>
    <xf numFmtId="0" fontId="30" fillId="19" borderId="90" xfId="0" applyFont="1" applyFill="1" applyBorder="1" applyAlignment="1">
      <alignment horizontal="center" vertical="center" wrapText="1" shrinkToFit="1"/>
    </xf>
    <xf numFmtId="0" fontId="30" fillId="19" borderId="52" xfId="0" applyFont="1" applyFill="1" applyBorder="1" applyAlignment="1">
      <alignment horizontal="center" vertical="center" wrapText="1" shrinkToFit="1"/>
    </xf>
    <xf numFmtId="0" fontId="27" fillId="0" borderId="16" xfId="0" applyFont="1" applyBorder="1" applyAlignment="1">
      <alignment horizontal="center" vertical="center" wrapText="1"/>
    </xf>
    <xf numFmtId="0" fontId="0" fillId="0" borderId="37" xfId="0" applyBorder="1" applyAlignment="1">
      <alignment wrapText="1"/>
    </xf>
    <xf numFmtId="0" fontId="28" fillId="0" borderId="16" xfId="0" applyFont="1" applyBorder="1" applyAlignment="1">
      <alignment horizontal="center" vertical="center" shrinkToFit="1"/>
    </xf>
    <xf numFmtId="0" fontId="0" fillId="0" borderId="22" xfId="0" applyBorder="1" applyAlignment="1">
      <alignment horizontal="center" vertical="center" shrinkToFit="1"/>
    </xf>
    <xf numFmtId="0" fontId="0" fillId="0" borderId="37" xfId="0" applyBorder="1" applyAlignment="1">
      <alignment shrinkToFit="1"/>
    </xf>
    <xf numFmtId="0" fontId="22" fillId="0" borderId="18" xfId="0" applyFont="1" applyBorder="1" applyAlignment="1">
      <alignment horizontal="center" vertical="center" wrapText="1"/>
    </xf>
    <xf numFmtId="0" fontId="0" fillId="0" borderId="27" xfId="0" applyBorder="1" applyAlignment="1">
      <alignment horizontal="center" vertical="center" wrapText="1"/>
    </xf>
    <xf numFmtId="0" fontId="28" fillId="0" borderId="21" xfId="0" applyFont="1" applyFill="1" applyBorder="1" applyAlignment="1">
      <alignment horizontal="center" vertical="center" shrinkToFit="1"/>
    </xf>
    <xf numFmtId="0" fontId="0" fillId="0" borderId="27" xfId="0" applyBorder="1" applyAlignment="1">
      <alignment horizontal="center" vertical="center" shrinkToFit="1"/>
    </xf>
    <xf numFmtId="0" fontId="28" fillId="0" borderId="21" xfId="0" applyFont="1" applyBorder="1" applyAlignment="1">
      <alignment horizontal="center" vertical="center" shrinkToFit="1"/>
    </xf>
    <xf numFmtId="0" fontId="22" fillId="0" borderId="19" xfId="0" applyFont="1" applyBorder="1" applyAlignment="1">
      <alignment horizontal="center" vertical="center" wrapText="1"/>
    </xf>
    <xf numFmtId="0" fontId="0" fillId="0" borderId="25" xfId="0" applyBorder="1" applyAlignment="1">
      <alignment horizontal="center" vertical="center" wrapText="1"/>
    </xf>
    <xf numFmtId="0" fontId="28" fillId="0" borderId="23" xfId="0" applyFont="1" applyBorder="1" applyAlignment="1">
      <alignment horizontal="center" vertical="center" wrapText="1"/>
    </xf>
    <xf numFmtId="0" fontId="29" fillId="0" borderId="21" xfId="0" applyFont="1" applyBorder="1" applyAlignment="1">
      <alignment horizontal="center" vertical="center" shrinkToFit="1"/>
    </xf>
    <xf numFmtId="49" fontId="49" fillId="0" borderId="12" xfId="0" applyNumberFormat="1" applyFont="1" applyFill="1" applyBorder="1" applyAlignment="1">
      <alignment horizontal="center" vertical="center" wrapText="1"/>
    </xf>
    <xf numFmtId="0" fontId="22" fillId="0" borderId="42" xfId="0" applyFont="1" applyBorder="1" applyAlignment="1">
      <alignment horizontal="center" vertical="top" wrapText="1"/>
    </xf>
    <xf numFmtId="0" fontId="0" fillId="0" borderId="42" xfId="0" applyBorder="1" applyAlignment="1">
      <alignment wrapText="1"/>
    </xf>
    <xf numFmtId="0" fontId="27" fillId="0" borderId="23" xfId="0" applyFont="1" applyFill="1" applyBorder="1" applyAlignment="1">
      <alignment horizontal="center" vertical="center" wrapText="1"/>
    </xf>
    <xf numFmtId="0" fontId="27" fillId="0" borderId="23" xfId="0" applyFont="1" applyBorder="1" applyAlignment="1">
      <alignment horizontal="center" vertical="center" wrapText="1"/>
    </xf>
    <xf numFmtId="177" fontId="3" fillId="0" borderId="17"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0" fontId="3" fillId="0" borderId="57" xfId="0" applyFont="1" applyFill="1" applyBorder="1" applyAlignment="1">
      <alignment horizontal="center" vertical="top" wrapText="1" shrinkToFit="1"/>
    </xf>
    <xf numFmtId="0" fontId="3" fillId="0" borderId="56" xfId="0" applyFont="1" applyFill="1" applyBorder="1" applyAlignment="1">
      <alignment horizontal="center" vertical="top" wrapText="1" shrinkToFit="1"/>
    </xf>
    <xf numFmtId="0" fontId="30" fillId="20" borderId="73" xfId="247" applyFont="1" applyFill="1" applyBorder="1" applyAlignment="1" applyProtection="1">
      <alignment horizontal="center" vertical="center" shrinkToFit="1"/>
      <protection locked="0"/>
    </xf>
    <xf numFmtId="0" fontId="3" fillId="0" borderId="70" xfId="0" applyFont="1" applyFill="1" applyBorder="1" applyAlignment="1">
      <alignment horizontal="center" vertical="center" textRotation="90" shrinkToFit="1"/>
    </xf>
    <xf numFmtId="0" fontId="0" fillId="0" borderId="1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7" xfId="0" applyFont="1" applyBorder="1" applyAlignment="1">
      <alignment horizontal="center" vertical="center" wrapText="1"/>
    </xf>
    <xf numFmtId="49" fontId="3" fillId="0" borderId="89" xfId="0" applyNumberFormat="1" applyFont="1" applyFill="1" applyBorder="1" applyAlignment="1">
      <alignment horizontal="center" vertical="center" wrapText="1"/>
    </xf>
    <xf numFmtId="0" fontId="3" fillId="0" borderId="11" xfId="0" applyFont="1" applyFill="1" applyBorder="1" applyAlignment="1">
      <alignment horizontal="center" vertical="top" shrinkToFit="1"/>
    </xf>
    <xf numFmtId="38" fontId="3" fillId="0" borderId="11" xfId="249" applyFont="1" applyFill="1" applyBorder="1" applyAlignment="1">
      <alignment horizontal="center" vertical="top" wrapText="1"/>
    </xf>
    <xf numFmtId="49" fontId="3" fillId="0" borderId="11" xfId="0" applyNumberFormat="1" applyFont="1" applyFill="1" applyBorder="1" applyAlignment="1">
      <alignment horizontal="center" vertical="center" wrapText="1"/>
    </xf>
    <xf numFmtId="0" fontId="3" fillId="28" borderId="51" xfId="0" applyFont="1" applyFill="1" applyBorder="1" applyAlignment="1">
      <alignment horizontal="center" vertical="center" textRotation="90" wrapText="1"/>
    </xf>
    <xf numFmtId="0" fontId="3" fillId="28" borderId="48" xfId="0" applyFont="1" applyFill="1" applyBorder="1" applyAlignment="1">
      <alignment horizontal="center" vertical="center" textRotation="90" wrapText="1"/>
    </xf>
    <xf numFmtId="49" fontId="3" fillId="28" borderId="55" xfId="0" applyNumberFormat="1" applyFont="1" applyFill="1" applyBorder="1" applyAlignment="1">
      <alignment horizontal="center" vertical="center" wrapText="1"/>
    </xf>
    <xf numFmtId="49" fontId="3" fillId="28" borderId="56"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37" xfId="0" applyFont="1" applyBorder="1" applyAlignment="1">
      <alignment horizontal="center" vertical="center" wrapText="1"/>
    </xf>
    <xf numFmtId="0" fontId="3" fillId="25" borderId="25" xfId="0" applyFont="1" applyFill="1" applyBorder="1" applyAlignment="1">
      <alignment horizontal="center" vertical="center" textRotation="90" wrapText="1"/>
    </xf>
    <xf numFmtId="0" fontId="3" fillId="25" borderId="41" xfId="0" applyFont="1" applyFill="1" applyBorder="1" applyAlignment="1">
      <alignment horizontal="center" vertical="center" textRotation="90" wrapText="1"/>
    </xf>
    <xf numFmtId="0" fontId="3" fillId="24" borderId="50" xfId="0" applyFont="1" applyFill="1" applyBorder="1" applyAlignment="1">
      <alignment horizontal="center" vertical="center" textRotation="90" shrinkToFit="1"/>
    </xf>
    <xf numFmtId="0" fontId="3" fillId="24" borderId="48" xfId="0" applyFont="1" applyFill="1" applyBorder="1" applyAlignment="1">
      <alignment horizontal="center" vertical="center" textRotation="90" shrinkToFit="1"/>
    </xf>
  </cellXfs>
  <cellStyles count="280">
    <cellStyle name="20% - アクセント 1 2" xfId="1"/>
    <cellStyle name="20% - アクセント 1 3" xfId="2"/>
    <cellStyle name="20% - アクセント 1 4" xfId="3"/>
    <cellStyle name="20% - アクセント 1 5" xfId="4"/>
    <cellStyle name="20% - アクセント 1 6" xfId="5"/>
    <cellStyle name="20% - アクセント 1 7" xfId="6"/>
    <cellStyle name="20% - アクセント 2 2" xfId="7"/>
    <cellStyle name="20% - アクセント 2 3" xfId="8"/>
    <cellStyle name="20% - アクセント 2 4" xfId="9"/>
    <cellStyle name="20% - アクセント 2 5" xfId="10"/>
    <cellStyle name="20% - アクセント 2 6" xfId="11"/>
    <cellStyle name="20% - アクセント 2 7" xfId="12"/>
    <cellStyle name="20% - アクセント 3 2" xfId="13"/>
    <cellStyle name="20% - アクセント 3 3" xfId="14"/>
    <cellStyle name="20% - アクセント 3 4" xfId="15"/>
    <cellStyle name="20% - アクセント 3 5" xfId="16"/>
    <cellStyle name="20% - アクセント 3 6" xfId="17"/>
    <cellStyle name="20% - アクセント 3 7" xfId="18"/>
    <cellStyle name="20% - アクセント 4 2" xfId="19"/>
    <cellStyle name="20% - アクセント 4 3" xfId="20"/>
    <cellStyle name="20% - アクセント 4 4" xfId="21"/>
    <cellStyle name="20% - アクセント 4 5" xfId="22"/>
    <cellStyle name="20% - アクセント 4 6" xfId="23"/>
    <cellStyle name="20% - アクセント 4 7" xfId="24"/>
    <cellStyle name="20% - アクセント 5 2" xfId="25"/>
    <cellStyle name="20% - アクセント 5 3" xfId="26"/>
    <cellStyle name="20% - アクセント 5 4" xfId="27"/>
    <cellStyle name="20% - アクセント 5 5" xfId="28"/>
    <cellStyle name="20% - アクセント 5 6" xfId="29"/>
    <cellStyle name="20% - アクセント 5 7" xfId="30"/>
    <cellStyle name="20% - アクセント 6 2" xfId="31"/>
    <cellStyle name="20% - アクセント 6 3" xfId="32"/>
    <cellStyle name="20% - アクセント 6 4" xfId="33"/>
    <cellStyle name="20% - アクセント 6 5" xfId="34"/>
    <cellStyle name="20% - アクセント 6 6" xfId="35"/>
    <cellStyle name="20% - アクセント 6 7" xfId="36"/>
    <cellStyle name="40% - アクセント 1 2" xfId="37"/>
    <cellStyle name="40% - アクセント 1 3" xfId="38"/>
    <cellStyle name="40% - アクセント 1 4" xfId="39"/>
    <cellStyle name="40% - アクセント 1 5" xfId="40"/>
    <cellStyle name="40% - アクセント 1 6" xfId="41"/>
    <cellStyle name="40% - アクセント 1 7" xfId="42"/>
    <cellStyle name="40% - アクセント 2 2" xfId="43"/>
    <cellStyle name="40% - アクセント 2 3" xfId="44"/>
    <cellStyle name="40% - アクセント 2 4" xfId="45"/>
    <cellStyle name="40% - アクセント 2 5" xfId="46"/>
    <cellStyle name="40% - アクセント 2 6" xfId="47"/>
    <cellStyle name="40% - アクセント 2 7" xfId="48"/>
    <cellStyle name="40% - アクセント 3 2" xfId="49"/>
    <cellStyle name="40% - アクセント 3 3" xfId="50"/>
    <cellStyle name="40% - アクセント 3 4" xfId="51"/>
    <cellStyle name="40% - アクセント 3 5" xfId="52"/>
    <cellStyle name="40% - アクセント 3 6" xfId="53"/>
    <cellStyle name="40% - アクセント 3 7" xfId="54"/>
    <cellStyle name="40% - アクセント 4 2" xfId="55"/>
    <cellStyle name="40% - アクセント 4 3" xfId="56"/>
    <cellStyle name="40% - アクセント 4 4" xfId="57"/>
    <cellStyle name="40% - アクセント 4 5" xfId="58"/>
    <cellStyle name="40% - アクセント 4 6" xfId="59"/>
    <cellStyle name="40% - アクセント 4 7" xfId="60"/>
    <cellStyle name="40% - アクセント 5 2" xfId="61"/>
    <cellStyle name="40% - アクセント 5 3" xfId="62"/>
    <cellStyle name="40% - アクセント 5 4" xfId="63"/>
    <cellStyle name="40% - アクセント 5 5" xfId="64"/>
    <cellStyle name="40% - アクセント 5 6" xfId="65"/>
    <cellStyle name="40% - アクセント 5 7" xfId="66"/>
    <cellStyle name="40% - アクセント 6 2" xfId="67"/>
    <cellStyle name="40% - アクセント 6 3" xfId="68"/>
    <cellStyle name="40% - アクセント 6 4" xfId="69"/>
    <cellStyle name="40% - アクセント 6 5" xfId="70"/>
    <cellStyle name="40% - アクセント 6 6" xfId="71"/>
    <cellStyle name="40% - アクセント 6 7" xfId="72"/>
    <cellStyle name="60% - アクセント 1 2" xfId="73"/>
    <cellStyle name="60% - アクセント 1 3" xfId="74"/>
    <cellStyle name="60% - アクセント 1 4" xfId="75"/>
    <cellStyle name="60% - アクセント 1 5" xfId="76"/>
    <cellStyle name="60% - アクセント 1 6" xfId="77"/>
    <cellStyle name="60% - アクセント 1 7" xfId="78"/>
    <cellStyle name="60% - アクセント 2 2" xfId="79"/>
    <cellStyle name="60% - アクセント 2 3" xfId="80"/>
    <cellStyle name="60% - アクセント 2 4" xfId="81"/>
    <cellStyle name="60% - アクセント 2 5" xfId="82"/>
    <cellStyle name="60% - アクセント 2 6" xfId="83"/>
    <cellStyle name="60% - アクセント 2 7" xfId="84"/>
    <cellStyle name="60% - アクセント 3 2" xfId="85"/>
    <cellStyle name="60% - アクセント 3 3" xfId="86"/>
    <cellStyle name="60% - アクセント 3 4" xfId="87"/>
    <cellStyle name="60% - アクセント 3 5" xfId="88"/>
    <cellStyle name="60% - アクセント 3 6" xfId="89"/>
    <cellStyle name="60% - アクセント 3 7" xfId="90"/>
    <cellStyle name="60% - アクセント 4 2" xfId="91"/>
    <cellStyle name="60% - アクセント 4 3" xfId="92"/>
    <cellStyle name="60% - アクセント 4 4" xfId="93"/>
    <cellStyle name="60% - アクセント 4 5" xfId="94"/>
    <cellStyle name="60% - アクセント 4 6" xfId="95"/>
    <cellStyle name="60% - アクセント 4 7" xfId="96"/>
    <cellStyle name="60% - アクセント 5 2" xfId="97"/>
    <cellStyle name="60% - アクセント 5 3" xfId="98"/>
    <cellStyle name="60% - アクセント 5 4" xfId="99"/>
    <cellStyle name="60% - アクセント 5 5" xfId="100"/>
    <cellStyle name="60% - アクセント 5 6" xfId="101"/>
    <cellStyle name="60% - アクセント 5 7" xfId="102"/>
    <cellStyle name="60% - アクセント 6 2" xfId="103"/>
    <cellStyle name="60% - アクセント 6 3" xfId="104"/>
    <cellStyle name="60% - アクセント 6 4" xfId="105"/>
    <cellStyle name="60% - アクセント 6 5" xfId="106"/>
    <cellStyle name="60% - アクセント 6 6" xfId="107"/>
    <cellStyle name="60% - アクセント 6 7" xfId="108"/>
    <cellStyle name="アクセント 1 2" xfId="109"/>
    <cellStyle name="アクセント 1 3" xfId="110"/>
    <cellStyle name="アクセント 1 4" xfId="111"/>
    <cellStyle name="アクセント 1 5" xfId="112"/>
    <cellStyle name="アクセント 1 6" xfId="113"/>
    <cellStyle name="アクセント 1 7" xfId="114"/>
    <cellStyle name="アクセント 2 2" xfId="115"/>
    <cellStyle name="アクセント 2 3" xfId="116"/>
    <cellStyle name="アクセント 2 4" xfId="117"/>
    <cellStyle name="アクセント 2 5" xfId="118"/>
    <cellStyle name="アクセント 2 6" xfId="119"/>
    <cellStyle name="アクセント 2 7" xfId="120"/>
    <cellStyle name="アクセント 3 2" xfId="121"/>
    <cellStyle name="アクセント 3 3" xfId="122"/>
    <cellStyle name="アクセント 3 4" xfId="123"/>
    <cellStyle name="アクセント 3 5" xfId="124"/>
    <cellStyle name="アクセント 3 6" xfId="125"/>
    <cellStyle name="アクセント 3 7" xfId="126"/>
    <cellStyle name="アクセント 4 2" xfId="127"/>
    <cellStyle name="アクセント 4 3" xfId="128"/>
    <cellStyle name="アクセント 4 4" xfId="129"/>
    <cellStyle name="アクセント 4 5" xfId="130"/>
    <cellStyle name="アクセント 4 6" xfId="131"/>
    <cellStyle name="アクセント 4 7" xfId="132"/>
    <cellStyle name="アクセント 5 2" xfId="133"/>
    <cellStyle name="アクセント 5 3" xfId="134"/>
    <cellStyle name="アクセント 5 4" xfId="135"/>
    <cellStyle name="アクセント 5 5" xfId="136"/>
    <cellStyle name="アクセント 5 6" xfId="137"/>
    <cellStyle name="アクセント 5 7" xfId="138"/>
    <cellStyle name="アクセント 6 2" xfId="139"/>
    <cellStyle name="アクセント 6 3" xfId="140"/>
    <cellStyle name="アクセント 6 4" xfId="141"/>
    <cellStyle name="アクセント 6 5" xfId="142"/>
    <cellStyle name="アクセント 6 6" xfId="143"/>
    <cellStyle name="アクセント 6 7" xfId="144"/>
    <cellStyle name="タイトル 2" xfId="145"/>
    <cellStyle name="タイトル 3" xfId="146"/>
    <cellStyle name="タイトル 4" xfId="147"/>
    <cellStyle name="タイトル 5" xfId="148"/>
    <cellStyle name="タイトル 6" xfId="149"/>
    <cellStyle name="タイトル 7" xfId="150"/>
    <cellStyle name="チェック セル 2" xfId="151"/>
    <cellStyle name="チェック セル 3" xfId="152"/>
    <cellStyle name="チェック セル 4" xfId="153"/>
    <cellStyle name="チェック セル 5" xfId="154"/>
    <cellStyle name="チェック セル 6" xfId="155"/>
    <cellStyle name="チェック セル 7" xfId="156"/>
    <cellStyle name="どちらでもない 2" xfId="157"/>
    <cellStyle name="どちらでもない 3" xfId="158"/>
    <cellStyle name="どちらでもない 4" xfId="159"/>
    <cellStyle name="どちらでもない 5" xfId="160"/>
    <cellStyle name="どちらでもない 6" xfId="161"/>
    <cellStyle name="どちらでもない 7" xfId="162"/>
    <cellStyle name="ハイパーリンク" xfId="248" builtinId="8"/>
    <cellStyle name="メモ 2" xfId="163"/>
    <cellStyle name="メモ 2 2" xfId="250"/>
    <cellStyle name="メモ 3" xfId="164"/>
    <cellStyle name="メモ 3 2" xfId="251"/>
    <cellStyle name="メモ 4" xfId="165"/>
    <cellStyle name="メモ 4 2" xfId="252"/>
    <cellStyle name="メモ 5" xfId="166"/>
    <cellStyle name="メモ 5 2" xfId="253"/>
    <cellStyle name="メモ 6" xfId="167"/>
    <cellStyle name="メモ 6 2" xfId="254"/>
    <cellStyle name="メモ 7" xfId="168"/>
    <cellStyle name="メモ 7 2" xfId="255"/>
    <cellStyle name="リンク セル 2" xfId="169"/>
    <cellStyle name="リンク セル 3" xfId="170"/>
    <cellStyle name="リンク セル 4" xfId="171"/>
    <cellStyle name="リンク セル 5" xfId="172"/>
    <cellStyle name="リンク セル 6" xfId="173"/>
    <cellStyle name="リンク セル 7" xfId="174"/>
    <cellStyle name="悪い 2" xfId="175"/>
    <cellStyle name="悪い 3" xfId="176"/>
    <cellStyle name="悪い 4" xfId="177"/>
    <cellStyle name="悪い 5" xfId="178"/>
    <cellStyle name="悪い 6" xfId="179"/>
    <cellStyle name="悪い 7" xfId="180"/>
    <cellStyle name="計算 2" xfId="181"/>
    <cellStyle name="計算 2 2" xfId="256"/>
    <cellStyle name="計算 3" xfId="182"/>
    <cellStyle name="計算 3 2" xfId="257"/>
    <cellStyle name="計算 4" xfId="183"/>
    <cellStyle name="計算 4 2" xfId="258"/>
    <cellStyle name="計算 5" xfId="184"/>
    <cellStyle name="計算 5 2" xfId="259"/>
    <cellStyle name="計算 6" xfId="185"/>
    <cellStyle name="計算 6 2" xfId="260"/>
    <cellStyle name="計算 7" xfId="186"/>
    <cellStyle name="計算 7 2" xfId="261"/>
    <cellStyle name="警告文 2" xfId="187"/>
    <cellStyle name="警告文 3" xfId="188"/>
    <cellStyle name="警告文 4" xfId="189"/>
    <cellStyle name="警告文 5" xfId="190"/>
    <cellStyle name="警告文 6" xfId="191"/>
    <cellStyle name="警告文 7" xfId="192"/>
    <cellStyle name="桁区切り" xfId="249" builtinId="6"/>
    <cellStyle name="見出し 1 2" xfId="193"/>
    <cellStyle name="見出し 1 3" xfId="194"/>
    <cellStyle name="見出し 1 4" xfId="195"/>
    <cellStyle name="見出し 1 5" xfId="196"/>
    <cellStyle name="見出し 1 6" xfId="197"/>
    <cellStyle name="見出し 1 7" xfId="198"/>
    <cellStyle name="見出し 2 2" xfId="199"/>
    <cellStyle name="見出し 2 3" xfId="200"/>
    <cellStyle name="見出し 2 4" xfId="201"/>
    <cellStyle name="見出し 2 5" xfId="202"/>
    <cellStyle name="見出し 2 6" xfId="203"/>
    <cellStyle name="見出し 2 7" xfId="204"/>
    <cellStyle name="見出し 3 2" xfId="205"/>
    <cellStyle name="見出し 3 3" xfId="206"/>
    <cellStyle name="見出し 3 4" xfId="207"/>
    <cellStyle name="見出し 3 5" xfId="208"/>
    <cellStyle name="見出し 3 6" xfId="209"/>
    <cellStyle name="見出し 3 7" xfId="210"/>
    <cellStyle name="見出し 4 2" xfId="211"/>
    <cellStyle name="見出し 4 3" xfId="212"/>
    <cellStyle name="見出し 4 4" xfId="213"/>
    <cellStyle name="見出し 4 5" xfId="214"/>
    <cellStyle name="見出し 4 6" xfId="215"/>
    <cellStyle name="見出し 4 7" xfId="216"/>
    <cellStyle name="集計 2" xfId="217"/>
    <cellStyle name="集計 2 2" xfId="262"/>
    <cellStyle name="集計 3" xfId="218"/>
    <cellStyle name="集計 3 2" xfId="263"/>
    <cellStyle name="集計 4" xfId="219"/>
    <cellStyle name="集計 4 2" xfId="264"/>
    <cellStyle name="集計 5" xfId="220"/>
    <cellStyle name="集計 5 2" xfId="265"/>
    <cellStyle name="集計 6" xfId="221"/>
    <cellStyle name="集計 6 2" xfId="266"/>
    <cellStyle name="集計 7" xfId="222"/>
    <cellStyle name="集計 7 2" xfId="267"/>
    <cellStyle name="出力 2" xfId="223"/>
    <cellStyle name="出力 2 2" xfId="268"/>
    <cellStyle name="出力 3" xfId="224"/>
    <cellStyle name="出力 3 2" xfId="269"/>
    <cellStyle name="出力 4" xfId="225"/>
    <cellStyle name="出力 4 2" xfId="270"/>
    <cellStyle name="出力 5" xfId="226"/>
    <cellStyle name="出力 5 2" xfId="271"/>
    <cellStyle name="出力 6" xfId="227"/>
    <cellStyle name="出力 6 2" xfId="272"/>
    <cellStyle name="出力 7" xfId="228"/>
    <cellStyle name="出力 7 2" xfId="273"/>
    <cellStyle name="説明文 2" xfId="229"/>
    <cellStyle name="説明文 3" xfId="230"/>
    <cellStyle name="説明文 4" xfId="231"/>
    <cellStyle name="説明文 5" xfId="232"/>
    <cellStyle name="説明文 6" xfId="233"/>
    <cellStyle name="説明文 7" xfId="234"/>
    <cellStyle name="入力 2" xfId="235"/>
    <cellStyle name="入力 2 2" xfId="274"/>
    <cellStyle name="入力 3" xfId="236"/>
    <cellStyle name="入力 3 2" xfId="275"/>
    <cellStyle name="入力 4" xfId="237"/>
    <cellStyle name="入力 4 2" xfId="276"/>
    <cellStyle name="入力 5" xfId="238"/>
    <cellStyle name="入力 5 2" xfId="277"/>
    <cellStyle name="入力 6" xfId="239"/>
    <cellStyle name="入力 6 2" xfId="278"/>
    <cellStyle name="入力 7" xfId="240"/>
    <cellStyle name="入力 7 2" xfId="279"/>
    <cellStyle name="標準" xfId="0" builtinId="0"/>
    <cellStyle name="標準 2 2" xfId="247"/>
    <cellStyle name="良い 2" xfId="241"/>
    <cellStyle name="良い 3" xfId="242"/>
    <cellStyle name="良い 4" xfId="243"/>
    <cellStyle name="良い 5" xfId="244"/>
    <cellStyle name="良い 6" xfId="245"/>
    <cellStyle name="良い 7" xfId="246"/>
  </cellStyles>
  <dxfs count="4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C9804"/>
      <color rgb="FFFFFFCC"/>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0_2">
  <dgm:title val=""/>
  <dgm:desc val=""/>
  <dgm:catLst>
    <dgm:cat type="mainScheme" pri="10200"/>
  </dgm:catLst>
  <dgm:styleLbl name="node0">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align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ln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vennNode1">
    <dgm:fillClrLst meth="repeat">
      <a:schemeClr val="lt1">
        <a:alpha val="50000"/>
      </a:schemeClr>
    </dgm:fillClrLst>
    <dgm:linClrLst meth="repeat">
      <a:schemeClr val="dk2">
        <a:shade val="80000"/>
      </a:schemeClr>
    </dgm:linClrLst>
    <dgm:effectClrLst/>
    <dgm:txLinClrLst/>
    <dgm:txFillClrLst/>
    <dgm:txEffectClrLst/>
  </dgm:styleLbl>
  <dgm:styleLbl name="node2">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3">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4">
    <dgm:fillClrLst meth="repeat">
      <a:schemeClr val="lt1"/>
    </dgm:fillClrLst>
    <dgm:linClrLst meth="repeat">
      <a:schemeClr val="dk2">
        <a:shade val="80000"/>
      </a:schemeClr>
    </dgm:linClrLst>
    <dgm:effectClrLst/>
    <dgm:txLinClrLst/>
    <dgm:txFillClrLst meth="repeat">
      <a:schemeClr val="dk2"/>
    </dgm:txFillClrLst>
    <dgm:txEffectClrLst/>
  </dgm:styleLbl>
  <dgm:styleLbl name="fg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align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bg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sibTrans1D1">
    <dgm:fillClrLst meth="repeat">
      <a:schemeClr val="dk2"/>
    </dgm:fillClrLst>
    <dgm:linClrLst meth="repeat">
      <a:schemeClr val="dk2"/>
    </dgm:linClrLst>
    <dgm:effectClrLst/>
    <dgm:txLinClrLst/>
    <dgm:txFillClrLst meth="repeat">
      <a:schemeClr val="tx1"/>
    </dgm:txFillClrLst>
    <dgm:txEffectClrLst/>
  </dgm:styleLbl>
  <dgm:styleLbl name="callout">
    <dgm:fillClrLst meth="repeat">
      <a:schemeClr val="dk2"/>
    </dgm:fillClrLst>
    <dgm:linClrLst meth="repeat">
      <a:schemeClr val="dk2"/>
    </dgm:linClrLst>
    <dgm:effectClrLst/>
    <dgm:txLinClrLst/>
    <dgm:txFillClrLst meth="repeat">
      <a:schemeClr val="tx1"/>
    </dgm:txFillClrLst>
    <dgm:txEffectClrLst/>
  </dgm:styleLbl>
  <dgm:styleLbl name="asst0">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1">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2">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3">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4">
    <dgm:fillClrLst meth="repeat">
      <a:schemeClr val="lt1"/>
    </dgm:fillClrLst>
    <dgm:linClrLst meth="repeat">
      <a:schemeClr val="dk2">
        <a:shade val="80000"/>
      </a:schemeClr>
    </dgm:linClrLst>
    <dgm:effectClrLst/>
    <dgm:txLinClrLst/>
    <dgm:txFillClrLst meth="repeat">
      <a:schemeClr val="dk2"/>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dgm:txEffectClrLst/>
  </dgm:styleLbl>
  <dgm:styleLbl name="parChTrans2D2">
    <dgm:fillClrLst meth="repeat">
      <a:schemeClr val="dk2"/>
    </dgm:fillClrLst>
    <dgm:linClrLst meth="repeat">
      <a:schemeClr val="dk2"/>
    </dgm:linClrLst>
    <dgm:effectClrLst/>
    <dgm:txLinClrLst/>
    <dgm:txFillClrLst/>
    <dgm:txEffectClrLst/>
  </dgm:styleLbl>
  <dgm:styleLbl name="parChTrans2D3">
    <dgm:fillClrLst meth="repeat">
      <a:schemeClr val="dk2"/>
    </dgm:fillClrLst>
    <dgm:linClrLst meth="repeat">
      <a:schemeClr val="dk2"/>
    </dgm:linClrLst>
    <dgm:effectClrLst/>
    <dgm:txLinClrLst/>
    <dgm:txFillClrLst/>
    <dgm:txEffectClrLst/>
  </dgm:styleLbl>
  <dgm:styleLbl name="parChTrans2D4">
    <dgm:fillClrLst meth="repeat">
      <a:schemeClr val="dk2"/>
    </dgm:fillClrLst>
    <dgm:linClrLst meth="repeat">
      <a:schemeClr val="dk2"/>
    </dgm:linClrLst>
    <dgm:effectClrLst/>
    <dgm:txLinClrLst/>
    <dgm:txFillClrLst meth="repeat">
      <a:schemeClr val="lt1"/>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conF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align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trAlignAcc1">
    <dgm:fillClrLst meth="repeat">
      <a:schemeClr val="dk2">
        <a:alpha val="40000"/>
        <a:tint val="40000"/>
      </a:schemeClr>
    </dgm:fillClrLst>
    <dgm:linClrLst meth="repeat">
      <a:schemeClr val="dk2"/>
    </dgm:linClrLst>
    <dgm:effectClrLst/>
    <dgm:txLinClrLst/>
    <dgm:txFillClrLst meth="repeat">
      <a:schemeClr val="dk2"/>
    </dgm:txFillClrLst>
    <dgm:txEffectClrLst/>
  </dgm:styleLbl>
  <dgm:styleLbl name="b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solidFgAcc1">
    <dgm:fillClrLst meth="repeat">
      <a:schemeClr val="lt1"/>
    </dgm:fillClrLst>
    <dgm:linClrLst meth="repeat">
      <a:schemeClr val="dk2"/>
    </dgm:linClrLst>
    <dgm:effectClrLst/>
    <dgm:txLinClrLst/>
    <dgm:txFillClrLst meth="repeat">
      <a:schemeClr val="dk2"/>
    </dgm:txFillClrLst>
    <dgm:txEffectClrLst/>
  </dgm:styleLbl>
  <dgm:styleLbl name="solidAlignAcc1">
    <dgm:fillClrLst meth="repeat">
      <a:schemeClr val="lt1"/>
    </dgm:fillClrLst>
    <dgm:linClrLst meth="repeat">
      <a:schemeClr val="dk2"/>
    </dgm:linClrLst>
    <dgm:effectClrLst/>
    <dgm:txLinClrLst/>
    <dgm:txFillClrLst meth="repeat">
      <a:schemeClr val="dk2"/>
    </dgm:txFillClrLst>
    <dgm:txEffectClrLst/>
  </dgm:styleLbl>
  <dgm:styleLbl name="solidBgAcc1">
    <dgm:fillClrLst meth="repeat">
      <a:schemeClr val="lt1"/>
    </dgm:fillClrLst>
    <dgm:linClrLst meth="repeat">
      <a:schemeClr val="dk2"/>
    </dgm:linClrLst>
    <dgm:effectClrLst/>
    <dgm:txLinClrLst/>
    <dgm:txFillClrLst meth="repeat">
      <a:schemeClr val="dk2"/>
    </dgm:txFillClrLst>
    <dgm:txEffectClrLst/>
  </dgm:styleLbl>
  <dgm:styleLbl name="fg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align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bg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fgAcc0">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2">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3">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4">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2"/>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2"/>
    </dgm:txFillClrLst>
    <dgm:txEffectClrLst/>
  </dgm:styleLbl>
  <dgm:styleLbl name="fgShp">
    <dgm:fillClrLst meth="repeat">
      <a:schemeClr val="dk2">
        <a:tint val="60000"/>
      </a:schemeClr>
    </dgm:fillClrLst>
    <dgm:linClrLst meth="repeat">
      <a:schemeClr val="lt1"/>
    </dgm:linClrLst>
    <dgm:effectClrLst/>
    <dgm:txLinClrLst/>
    <dgm:txFillClrLst meth="repeat">
      <a:schemeClr val="dk2"/>
    </dgm:txFillClrLst>
    <dgm:txEffectClrLst/>
  </dgm:styleLbl>
  <dgm:styleLbl name="revTx">
    <dgm:fillClrLst meth="repeat">
      <a:schemeClr val="lt1">
        <a:alpha val="0"/>
      </a:schemeClr>
    </dgm:fillClrLst>
    <dgm:linClrLst meth="repeat">
      <a:schemeClr val="dk2">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A3A490D-AE2A-4C00-BE12-91D48DD65BD3}" type="doc">
      <dgm:prSet loTypeId="urn:microsoft.com/office/officeart/2005/8/layout/hList1" loCatId="list" qsTypeId="urn:microsoft.com/office/officeart/2005/8/quickstyle/simple1" qsCatId="simple" csTypeId="urn:microsoft.com/office/officeart/2005/8/colors/accent0_2" csCatId="mainScheme" phldr="1"/>
      <dgm:spPr/>
      <dgm:t>
        <a:bodyPr/>
        <a:lstStyle/>
        <a:p>
          <a:endParaRPr kumimoji="1" lang="ja-JP" altLang="en-US"/>
        </a:p>
      </dgm:t>
    </dgm:pt>
    <dgm:pt modelId="{C86B5853-33D3-46C1-A2B2-7FF66DA8C538}">
      <dgm:prSet phldrT="[テキスト]"/>
      <dgm:spPr/>
      <dgm:t>
        <a:bodyPr/>
        <a:lstStyle/>
        <a:p>
          <a:r>
            <a:rPr kumimoji="1" lang="en-US" altLang="ja-JP"/>
            <a:t>Study Period</a:t>
          </a:r>
          <a:endParaRPr kumimoji="1" lang="ja-JP" altLang="en-US"/>
        </a:p>
      </dgm:t>
    </dgm:pt>
    <dgm:pt modelId="{F4C1EFCB-B603-4338-8DFE-A5D23F7818C3}" type="parTrans" cxnId="{519F0A19-DEB4-447C-A0CA-4E4081D27867}">
      <dgm:prSet/>
      <dgm:spPr/>
      <dgm:t>
        <a:bodyPr/>
        <a:lstStyle/>
        <a:p>
          <a:endParaRPr kumimoji="1" lang="ja-JP" altLang="en-US"/>
        </a:p>
      </dgm:t>
    </dgm:pt>
    <dgm:pt modelId="{5B1315C5-4EC2-4477-8CEF-896893BC1AD0}" type="sibTrans" cxnId="{519F0A19-DEB4-447C-A0CA-4E4081D27867}">
      <dgm:prSet/>
      <dgm:spPr/>
      <dgm:t>
        <a:bodyPr/>
        <a:lstStyle/>
        <a:p>
          <a:endParaRPr kumimoji="1" lang="ja-JP" altLang="en-US"/>
        </a:p>
      </dgm:t>
    </dgm:pt>
    <dgm:pt modelId="{7C1F43F5-E281-41CC-A80F-BD49302F4774}">
      <dgm:prSet phldrT="[テキスト]"/>
      <dgm:spPr/>
      <dgm:t>
        <a:bodyPr/>
        <a:lstStyle/>
        <a:p>
          <a:r>
            <a:rPr kumimoji="1" lang="en-US" altLang="ja-JP"/>
            <a:t>1:  8:50 -</a:t>
          </a:r>
          <a:r>
            <a:rPr kumimoji="1" lang="ja-JP" altLang="en-US"/>
            <a:t> </a:t>
          </a:r>
          <a:r>
            <a:rPr kumimoji="1" lang="en-US" altLang="ja-JP"/>
            <a:t>10:20</a:t>
          </a:r>
          <a:r>
            <a:rPr kumimoji="1" lang="ja-JP" altLang="en-US"/>
            <a:t>　</a:t>
          </a:r>
        </a:p>
      </dgm:t>
    </dgm:pt>
    <dgm:pt modelId="{47D09148-02F0-4A57-B496-C9E62776AD28}" type="parTrans" cxnId="{164F9982-AEC2-4C2B-8A3F-A20710FAFCD0}">
      <dgm:prSet/>
      <dgm:spPr/>
      <dgm:t>
        <a:bodyPr/>
        <a:lstStyle/>
        <a:p>
          <a:endParaRPr kumimoji="1" lang="ja-JP" altLang="en-US"/>
        </a:p>
      </dgm:t>
    </dgm:pt>
    <dgm:pt modelId="{0B678C9B-EFAD-4082-9852-7962D55666F9}" type="sibTrans" cxnId="{164F9982-AEC2-4C2B-8A3F-A20710FAFCD0}">
      <dgm:prSet/>
      <dgm:spPr/>
      <dgm:t>
        <a:bodyPr/>
        <a:lstStyle/>
        <a:p>
          <a:endParaRPr kumimoji="1" lang="ja-JP" altLang="en-US"/>
        </a:p>
      </dgm:t>
    </dgm:pt>
    <dgm:pt modelId="{C51B7C27-DC79-44B9-8E41-FF24B55D2043}">
      <dgm:prSet phldrT="[テキスト]"/>
      <dgm:spPr/>
      <dgm:t>
        <a:bodyPr/>
        <a:lstStyle/>
        <a:p>
          <a:r>
            <a:rPr kumimoji="1" lang="en-US" altLang="ja-JP"/>
            <a:t>3: 13:30 - 15:00</a:t>
          </a:r>
          <a:endParaRPr kumimoji="1" lang="ja-JP" altLang="en-US"/>
        </a:p>
      </dgm:t>
    </dgm:pt>
    <dgm:pt modelId="{65F108D8-F25E-436A-BA90-F55891A07FB5}" type="parTrans" cxnId="{927D0437-637D-4A4F-92C4-2F822C26C502}">
      <dgm:prSet/>
      <dgm:spPr/>
      <dgm:t>
        <a:bodyPr/>
        <a:lstStyle/>
        <a:p>
          <a:endParaRPr kumimoji="1" lang="ja-JP" altLang="en-US"/>
        </a:p>
      </dgm:t>
    </dgm:pt>
    <dgm:pt modelId="{3323FD08-FBC7-43C3-83ED-FE948E47F1E1}" type="sibTrans" cxnId="{927D0437-637D-4A4F-92C4-2F822C26C502}">
      <dgm:prSet/>
      <dgm:spPr/>
      <dgm:t>
        <a:bodyPr/>
        <a:lstStyle/>
        <a:p>
          <a:endParaRPr kumimoji="1" lang="ja-JP" altLang="en-US"/>
        </a:p>
      </dgm:t>
    </dgm:pt>
    <dgm:pt modelId="{AA95B522-F7A9-4402-AAC2-4F480C171058}">
      <dgm:prSet phldrT="[テキスト]"/>
      <dgm:spPr/>
      <dgm:t>
        <a:bodyPr/>
        <a:lstStyle/>
        <a:p>
          <a:r>
            <a:rPr kumimoji="1" lang="en-US" altLang="ja-JP"/>
            <a:t>2: 10:30 - 12:00</a:t>
          </a:r>
          <a:endParaRPr kumimoji="1" lang="ja-JP" altLang="en-US"/>
        </a:p>
      </dgm:t>
    </dgm:pt>
    <dgm:pt modelId="{F7B4502F-743A-4F52-A518-B52D8178EBDF}" type="parTrans" cxnId="{BF7820F2-E58F-4783-B4C1-FF6530173AF5}">
      <dgm:prSet/>
      <dgm:spPr/>
      <dgm:t>
        <a:bodyPr/>
        <a:lstStyle/>
        <a:p>
          <a:endParaRPr kumimoji="1" lang="ja-JP" altLang="en-US"/>
        </a:p>
      </dgm:t>
    </dgm:pt>
    <dgm:pt modelId="{C6478A06-324F-4F6E-9609-9F6474C7F91F}" type="sibTrans" cxnId="{BF7820F2-E58F-4783-B4C1-FF6530173AF5}">
      <dgm:prSet/>
      <dgm:spPr/>
      <dgm:t>
        <a:bodyPr/>
        <a:lstStyle/>
        <a:p>
          <a:endParaRPr kumimoji="1" lang="ja-JP" altLang="en-US"/>
        </a:p>
      </dgm:t>
    </dgm:pt>
    <dgm:pt modelId="{9654B765-01D0-4343-8C82-CC9DE63AA1DF}">
      <dgm:prSet phldrT="[テキスト]"/>
      <dgm:spPr/>
      <dgm:t>
        <a:bodyPr/>
        <a:lstStyle/>
        <a:p>
          <a:r>
            <a:rPr kumimoji="1" lang="en-US" altLang="ja-JP"/>
            <a:t>4: 15:10 - 16:40</a:t>
          </a:r>
          <a:endParaRPr kumimoji="1" lang="ja-JP" altLang="en-US"/>
        </a:p>
      </dgm:t>
    </dgm:pt>
    <dgm:pt modelId="{C4D3D2B4-4711-4408-95A4-F707C0218789}" type="parTrans" cxnId="{C7152F54-F8B6-4967-A712-79252578F16F}">
      <dgm:prSet/>
      <dgm:spPr/>
      <dgm:t>
        <a:bodyPr/>
        <a:lstStyle/>
        <a:p>
          <a:endParaRPr kumimoji="1" lang="ja-JP" altLang="en-US"/>
        </a:p>
      </dgm:t>
    </dgm:pt>
    <dgm:pt modelId="{A3F72679-5C01-407D-8C7C-DF440A0FA1D1}" type="sibTrans" cxnId="{C7152F54-F8B6-4967-A712-79252578F16F}">
      <dgm:prSet/>
      <dgm:spPr/>
      <dgm:t>
        <a:bodyPr/>
        <a:lstStyle/>
        <a:p>
          <a:endParaRPr kumimoji="1" lang="ja-JP" altLang="en-US"/>
        </a:p>
      </dgm:t>
    </dgm:pt>
    <dgm:pt modelId="{A9500F77-373D-4A61-BECA-C661F09EACC0}">
      <dgm:prSet phldrT="[テキスト]"/>
      <dgm:spPr/>
      <dgm:t>
        <a:bodyPr/>
        <a:lstStyle/>
        <a:p>
          <a:r>
            <a:rPr kumimoji="1" lang="en-US" altLang="ja-JP"/>
            <a:t>5: 16:50 - 18:20</a:t>
          </a:r>
          <a:endParaRPr kumimoji="1" lang="ja-JP" altLang="en-US"/>
        </a:p>
      </dgm:t>
    </dgm:pt>
    <dgm:pt modelId="{CA5B84DF-A5E6-4FB4-9550-574A3DE0B38F}" type="parTrans" cxnId="{CE245918-3171-40BF-8D17-31115B45C181}">
      <dgm:prSet/>
      <dgm:spPr/>
      <dgm:t>
        <a:bodyPr/>
        <a:lstStyle/>
        <a:p>
          <a:endParaRPr kumimoji="1" lang="ja-JP" altLang="en-US"/>
        </a:p>
      </dgm:t>
    </dgm:pt>
    <dgm:pt modelId="{0B6BB932-F15A-481B-808E-F85154614222}" type="sibTrans" cxnId="{CE245918-3171-40BF-8D17-31115B45C181}">
      <dgm:prSet/>
      <dgm:spPr/>
      <dgm:t>
        <a:bodyPr/>
        <a:lstStyle/>
        <a:p>
          <a:endParaRPr kumimoji="1" lang="ja-JP" altLang="en-US"/>
        </a:p>
      </dgm:t>
    </dgm:pt>
    <dgm:pt modelId="{EA522638-E171-4EA7-8144-9415D87538A3}" type="pres">
      <dgm:prSet presAssocID="{FA3A490D-AE2A-4C00-BE12-91D48DD65BD3}" presName="Name0" presStyleCnt="0">
        <dgm:presLayoutVars>
          <dgm:dir/>
          <dgm:animLvl val="lvl"/>
          <dgm:resizeHandles val="exact"/>
        </dgm:presLayoutVars>
      </dgm:prSet>
      <dgm:spPr/>
      <dgm:t>
        <a:bodyPr/>
        <a:lstStyle/>
        <a:p>
          <a:endParaRPr kumimoji="1" lang="ja-JP" altLang="en-US"/>
        </a:p>
      </dgm:t>
    </dgm:pt>
    <dgm:pt modelId="{F5E580BC-DE23-4F4A-8524-AA88A20252D5}" type="pres">
      <dgm:prSet presAssocID="{C86B5853-33D3-46C1-A2B2-7FF66DA8C538}" presName="composite" presStyleCnt="0"/>
      <dgm:spPr/>
    </dgm:pt>
    <dgm:pt modelId="{73836D0F-0FB2-4856-9B7A-989F383EFF38}" type="pres">
      <dgm:prSet presAssocID="{C86B5853-33D3-46C1-A2B2-7FF66DA8C538}" presName="parTx" presStyleLbl="alignNode1" presStyleIdx="0" presStyleCnt="1">
        <dgm:presLayoutVars>
          <dgm:chMax val="0"/>
          <dgm:chPref val="0"/>
          <dgm:bulletEnabled val="1"/>
        </dgm:presLayoutVars>
      </dgm:prSet>
      <dgm:spPr/>
      <dgm:t>
        <a:bodyPr/>
        <a:lstStyle/>
        <a:p>
          <a:endParaRPr kumimoji="1" lang="ja-JP" altLang="en-US"/>
        </a:p>
      </dgm:t>
    </dgm:pt>
    <dgm:pt modelId="{5E970198-A70B-4C07-ADB9-1EF76AEBFDF2}" type="pres">
      <dgm:prSet presAssocID="{C86B5853-33D3-46C1-A2B2-7FF66DA8C538}" presName="desTx" presStyleLbl="alignAccFollowNode1" presStyleIdx="0" presStyleCnt="1">
        <dgm:presLayoutVars>
          <dgm:bulletEnabled val="1"/>
        </dgm:presLayoutVars>
      </dgm:prSet>
      <dgm:spPr/>
      <dgm:t>
        <a:bodyPr/>
        <a:lstStyle/>
        <a:p>
          <a:endParaRPr kumimoji="1" lang="ja-JP" altLang="en-US"/>
        </a:p>
      </dgm:t>
    </dgm:pt>
  </dgm:ptLst>
  <dgm:cxnLst>
    <dgm:cxn modelId="{10D6A7A8-825A-4C07-8BE9-1DBB2F260EDF}" type="presOf" srcId="{FA3A490D-AE2A-4C00-BE12-91D48DD65BD3}" destId="{EA522638-E171-4EA7-8144-9415D87538A3}" srcOrd="0" destOrd="0" presId="urn:microsoft.com/office/officeart/2005/8/layout/hList1"/>
    <dgm:cxn modelId="{F9ED7B86-5DE2-4520-AC9A-AC81A838FADD}" type="presOf" srcId="{A9500F77-373D-4A61-BECA-C661F09EACC0}" destId="{5E970198-A70B-4C07-ADB9-1EF76AEBFDF2}" srcOrd="0" destOrd="4" presId="urn:microsoft.com/office/officeart/2005/8/layout/hList1"/>
    <dgm:cxn modelId="{BDAB2C12-7AB8-48A9-BA14-41A3655FAC03}" type="presOf" srcId="{C86B5853-33D3-46C1-A2B2-7FF66DA8C538}" destId="{73836D0F-0FB2-4856-9B7A-989F383EFF38}" srcOrd="0" destOrd="0" presId="urn:microsoft.com/office/officeart/2005/8/layout/hList1"/>
    <dgm:cxn modelId="{164F9982-AEC2-4C2B-8A3F-A20710FAFCD0}" srcId="{C86B5853-33D3-46C1-A2B2-7FF66DA8C538}" destId="{7C1F43F5-E281-41CC-A80F-BD49302F4774}" srcOrd="0" destOrd="0" parTransId="{47D09148-02F0-4A57-B496-C9E62776AD28}" sibTransId="{0B678C9B-EFAD-4082-9852-7962D55666F9}"/>
    <dgm:cxn modelId="{F1BF42E6-EF76-45D1-BDD8-D67D7C2DA3C9}" type="presOf" srcId="{C51B7C27-DC79-44B9-8E41-FF24B55D2043}" destId="{5E970198-A70B-4C07-ADB9-1EF76AEBFDF2}" srcOrd="0" destOrd="2" presId="urn:microsoft.com/office/officeart/2005/8/layout/hList1"/>
    <dgm:cxn modelId="{526C8AFC-5F20-42CC-BF0E-CFF24AF65126}" type="presOf" srcId="{AA95B522-F7A9-4402-AAC2-4F480C171058}" destId="{5E970198-A70B-4C07-ADB9-1EF76AEBFDF2}" srcOrd="0" destOrd="1" presId="urn:microsoft.com/office/officeart/2005/8/layout/hList1"/>
    <dgm:cxn modelId="{4C43EC06-23C6-44CC-8D0A-86212C612122}" type="presOf" srcId="{9654B765-01D0-4343-8C82-CC9DE63AA1DF}" destId="{5E970198-A70B-4C07-ADB9-1EF76AEBFDF2}" srcOrd="0" destOrd="3" presId="urn:microsoft.com/office/officeart/2005/8/layout/hList1"/>
    <dgm:cxn modelId="{23838272-8626-4E86-9CD8-7F1EB8A7B35E}" type="presOf" srcId="{7C1F43F5-E281-41CC-A80F-BD49302F4774}" destId="{5E970198-A70B-4C07-ADB9-1EF76AEBFDF2}" srcOrd="0" destOrd="0" presId="urn:microsoft.com/office/officeart/2005/8/layout/hList1"/>
    <dgm:cxn modelId="{CE245918-3171-40BF-8D17-31115B45C181}" srcId="{C86B5853-33D3-46C1-A2B2-7FF66DA8C538}" destId="{A9500F77-373D-4A61-BECA-C661F09EACC0}" srcOrd="4" destOrd="0" parTransId="{CA5B84DF-A5E6-4FB4-9550-574A3DE0B38F}" sibTransId="{0B6BB932-F15A-481B-808E-F85154614222}"/>
    <dgm:cxn modelId="{927D0437-637D-4A4F-92C4-2F822C26C502}" srcId="{C86B5853-33D3-46C1-A2B2-7FF66DA8C538}" destId="{C51B7C27-DC79-44B9-8E41-FF24B55D2043}" srcOrd="2" destOrd="0" parTransId="{65F108D8-F25E-436A-BA90-F55891A07FB5}" sibTransId="{3323FD08-FBC7-43C3-83ED-FE948E47F1E1}"/>
    <dgm:cxn modelId="{C7152F54-F8B6-4967-A712-79252578F16F}" srcId="{C86B5853-33D3-46C1-A2B2-7FF66DA8C538}" destId="{9654B765-01D0-4343-8C82-CC9DE63AA1DF}" srcOrd="3" destOrd="0" parTransId="{C4D3D2B4-4711-4408-95A4-F707C0218789}" sibTransId="{A3F72679-5C01-407D-8C7C-DF440A0FA1D1}"/>
    <dgm:cxn modelId="{BF7820F2-E58F-4783-B4C1-FF6530173AF5}" srcId="{C86B5853-33D3-46C1-A2B2-7FF66DA8C538}" destId="{AA95B522-F7A9-4402-AAC2-4F480C171058}" srcOrd="1" destOrd="0" parTransId="{F7B4502F-743A-4F52-A518-B52D8178EBDF}" sibTransId="{C6478A06-324F-4F6E-9609-9F6474C7F91F}"/>
    <dgm:cxn modelId="{519F0A19-DEB4-447C-A0CA-4E4081D27867}" srcId="{FA3A490D-AE2A-4C00-BE12-91D48DD65BD3}" destId="{C86B5853-33D3-46C1-A2B2-7FF66DA8C538}" srcOrd="0" destOrd="0" parTransId="{F4C1EFCB-B603-4338-8DFE-A5D23F7818C3}" sibTransId="{5B1315C5-4EC2-4477-8CEF-896893BC1AD0}"/>
    <dgm:cxn modelId="{1B4158E5-F6D4-495D-89F5-4F5C10E5249B}" type="presParOf" srcId="{EA522638-E171-4EA7-8144-9415D87538A3}" destId="{F5E580BC-DE23-4F4A-8524-AA88A20252D5}" srcOrd="0" destOrd="0" presId="urn:microsoft.com/office/officeart/2005/8/layout/hList1"/>
    <dgm:cxn modelId="{C6DA9F1D-0FB4-4782-9A6F-4DB91DA65FDE}" type="presParOf" srcId="{F5E580BC-DE23-4F4A-8524-AA88A20252D5}" destId="{73836D0F-0FB2-4856-9B7A-989F383EFF38}" srcOrd="0" destOrd="0" presId="urn:microsoft.com/office/officeart/2005/8/layout/hList1"/>
    <dgm:cxn modelId="{F8E096ED-7E2A-4061-9CCC-2D69D3C75087}" type="presParOf" srcId="{F5E580BC-DE23-4F4A-8524-AA88A20252D5}" destId="{5E970198-A70B-4C07-ADB9-1EF76AEBFDF2}"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836D0F-0FB2-4856-9B7A-989F383EFF38}">
      <dsp:nvSpPr>
        <dsp:cNvPr id="0" name=""/>
        <dsp:cNvSpPr/>
      </dsp:nvSpPr>
      <dsp:spPr>
        <a:xfrm>
          <a:off x="0" y="56315"/>
          <a:ext cx="1617219" cy="432000"/>
        </a:xfrm>
        <a:prstGeom prst="rect">
          <a:avLst/>
        </a:prstGeom>
        <a:solidFill>
          <a:schemeClr val="lt1">
            <a:hueOff val="0"/>
            <a:satOff val="0"/>
            <a:lumOff val="0"/>
            <a:alphaOff val="0"/>
          </a:schemeClr>
        </a:solidFill>
        <a:ln w="12700" cap="flat" cmpd="sng" algn="ctr">
          <a:solidFill>
            <a:schemeClr val="dk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60960" rIns="106680" bIns="60960" numCol="1" spcCol="1270" anchor="ctr" anchorCtr="0">
          <a:noAutofit/>
        </a:bodyPr>
        <a:lstStyle/>
        <a:p>
          <a:pPr lvl="0" algn="ctr" defTabSz="666750">
            <a:lnSpc>
              <a:spcPct val="90000"/>
            </a:lnSpc>
            <a:spcBef>
              <a:spcPct val="0"/>
            </a:spcBef>
            <a:spcAft>
              <a:spcPct val="35000"/>
            </a:spcAft>
          </a:pPr>
          <a:r>
            <a:rPr kumimoji="1" lang="en-US" altLang="ja-JP" sz="1500" kern="1200"/>
            <a:t>Study Period</a:t>
          </a:r>
          <a:endParaRPr kumimoji="1" lang="ja-JP" altLang="en-US" sz="1500" kern="1200"/>
        </a:p>
      </dsp:txBody>
      <dsp:txXfrm>
        <a:off x="0" y="56315"/>
        <a:ext cx="1617219" cy="432000"/>
      </dsp:txXfrm>
    </dsp:sp>
    <dsp:sp modelId="{5E970198-A70B-4C07-ADB9-1EF76AEBFDF2}">
      <dsp:nvSpPr>
        <dsp:cNvPr id="0" name=""/>
        <dsp:cNvSpPr/>
      </dsp:nvSpPr>
      <dsp:spPr>
        <a:xfrm>
          <a:off x="0" y="488315"/>
          <a:ext cx="1617219" cy="1482300"/>
        </a:xfrm>
        <a:prstGeom prst="rect">
          <a:avLst/>
        </a:prstGeom>
        <a:solidFill>
          <a:schemeClr val="lt1">
            <a:alpha val="90000"/>
            <a:tint val="40000"/>
            <a:hueOff val="0"/>
            <a:satOff val="0"/>
            <a:lumOff val="0"/>
            <a:alphaOff val="0"/>
          </a:schemeClr>
        </a:solidFill>
        <a:ln w="12700" cap="flat" cmpd="sng" algn="ctr">
          <a:solidFill>
            <a:schemeClr val="dk2">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0010" tIns="80010" rIns="106680" bIns="120015" numCol="1" spcCol="1270" anchor="t" anchorCtr="0">
          <a:noAutofit/>
        </a:bodyPr>
        <a:lstStyle/>
        <a:p>
          <a:pPr marL="114300" lvl="1" indent="-114300" algn="l" defTabSz="666750">
            <a:lnSpc>
              <a:spcPct val="90000"/>
            </a:lnSpc>
            <a:spcBef>
              <a:spcPct val="0"/>
            </a:spcBef>
            <a:spcAft>
              <a:spcPct val="15000"/>
            </a:spcAft>
            <a:buChar char="••"/>
          </a:pPr>
          <a:r>
            <a:rPr kumimoji="1" lang="en-US" altLang="ja-JP" sz="1500" kern="1200"/>
            <a:t>1:  8:50 -</a:t>
          </a:r>
          <a:r>
            <a:rPr kumimoji="1" lang="ja-JP" altLang="en-US" sz="1500" kern="1200"/>
            <a:t> </a:t>
          </a:r>
          <a:r>
            <a:rPr kumimoji="1" lang="en-US" altLang="ja-JP" sz="1500" kern="1200"/>
            <a:t>10:20</a:t>
          </a:r>
          <a:r>
            <a:rPr kumimoji="1" lang="ja-JP" altLang="en-US" sz="1500" kern="1200"/>
            <a:t>　</a:t>
          </a:r>
        </a:p>
        <a:p>
          <a:pPr marL="114300" lvl="1" indent="-114300" algn="l" defTabSz="666750">
            <a:lnSpc>
              <a:spcPct val="90000"/>
            </a:lnSpc>
            <a:spcBef>
              <a:spcPct val="0"/>
            </a:spcBef>
            <a:spcAft>
              <a:spcPct val="15000"/>
            </a:spcAft>
            <a:buChar char="••"/>
          </a:pPr>
          <a:r>
            <a:rPr kumimoji="1" lang="en-US" altLang="ja-JP" sz="1500" kern="1200"/>
            <a:t>2: 10:30 - 12:00</a:t>
          </a:r>
          <a:endParaRPr kumimoji="1" lang="ja-JP" altLang="en-US" sz="1500" kern="1200"/>
        </a:p>
        <a:p>
          <a:pPr marL="114300" lvl="1" indent="-114300" algn="l" defTabSz="666750">
            <a:lnSpc>
              <a:spcPct val="90000"/>
            </a:lnSpc>
            <a:spcBef>
              <a:spcPct val="0"/>
            </a:spcBef>
            <a:spcAft>
              <a:spcPct val="15000"/>
            </a:spcAft>
            <a:buChar char="••"/>
          </a:pPr>
          <a:r>
            <a:rPr kumimoji="1" lang="en-US" altLang="ja-JP" sz="1500" kern="1200"/>
            <a:t>3: 13:30 - 15:00</a:t>
          </a:r>
          <a:endParaRPr kumimoji="1" lang="ja-JP" altLang="en-US" sz="1500" kern="1200"/>
        </a:p>
        <a:p>
          <a:pPr marL="114300" lvl="1" indent="-114300" algn="l" defTabSz="666750">
            <a:lnSpc>
              <a:spcPct val="90000"/>
            </a:lnSpc>
            <a:spcBef>
              <a:spcPct val="0"/>
            </a:spcBef>
            <a:spcAft>
              <a:spcPct val="15000"/>
            </a:spcAft>
            <a:buChar char="••"/>
          </a:pPr>
          <a:r>
            <a:rPr kumimoji="1" lang="en-US" altLang="ja-JP" sz="1500" kern="1200"/>
            <a:t>4: 15:10 - 16:40</a:t>
          </a:r>
          <a:endParaRPr kumimoji="1" lang="ja-JP" altLang="en-US" sz="1500" kern="1200"/>
        </a:p>
        <a:p>
          <a:pPr marL="114300" lvl="1" indent="-114300" algn="l" defTabSz="666750">
            <a:lnSpc>
              <a:spcPct val="90000"/>
            </a:lnSpc>
            <a:spcBef>
              <a:spcPct val="0"/>
            </a:spcBef>
            <a:spcAft>
              <a:spcPct val="15000"/>
            </a:spcAft>
            <a:buChar char="••"/>
          </a:pPr>
          <a:r>
            <a:rPr kumimoji="1" lang="en-US" altLang="ja-JP" sz="1500" kern="1200"/>
            <a:t>5: 16:50 - 18:20</a:t>
          </a:r>
          <a:endParaRPr kumimoji="1" lang="ja-JP" altLang="en-US" sz="1500" kern="1200"/>
        </a:p>
      </dsp:txBody>
      <dsp:txXfrm>
        <a:off x="0" y="488315"/>
        <a:ext cx="1617219" cy="1482300"/>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http://www.osaka-u.ac.jp/en/access/buss.html" TargetMode="External"/><Relationship Id="rId3" Type="http://schemas.openxmlformats.org/officeDocument/2006/relationships/diagramQuickStyle" Target="../diagrams/quickStyle1.xml"/><Relationship Id="rId7" Type="http://schemas.openxmlformats.org/officeDocument/2006/relationships/image" Target="../media/image1.wmf"/><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http://www.osaka-u.ac.jp/en/guide/international_students/inbound/d.html" TargetMode="External"/><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14</xdr:col>
      <xdr:colOff>83820</xdr:colOff>
      <xdr:row>99</xdr:row>
      <xdr:rowOff>0</xdr:rowOff>
    </xdr:from>
    <xdr:to>
      <xdr:col>15</xdr:col>
      <xdr:colOff>144780</xdr:colOff>
      <xdr:row>102</xdr:row>
      <xdr:rowOff>57871</xdr:rowOff>
    </xdr:to>
    <xdr:sp macro="" textlink="">
      <xdr:nvSpPr>
        <xdr:cNvPr id="2" name="AutoShape 247">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7762220" y="16659225"/>
          <a:ext cx="632460" cy="584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245745</xdr:colOff>
      <xdr:row>58</xdr:row>
      <xdr:rowOff>161925</xdr:rowOff>
    </xdr:from>
    <xdr:to>
      <xdr:col>15</xdr:col>
      <xdr:colOff>958089</xdr:colOff>
      <xdr:row>68</xdr:row>
      <xdr:rowOff>36206</xdr:rowOff>
    </xdr:to>
    <xdr:graphicFrame macro="">
      <xdr:nvGraphicFramePr>
        <xdr:cNvPr id="3" name="図表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15</xdr:col>
      <xdr:colOff>1259542</xdr:colOff>
      <xdr:row>57</xdr:row>
      <xdr:rowOff>100853</xdr:rowOff>
    </xdr:from>
    <xdr:to>
      <xdr:col>18</xdr:col>
      <xdr:colOff>335281</xdr:colOff>
      <xdr:row>60</xdr:row>
      <xdr:rowOff>6724</xdr:rowOff>
    </xdr:to>
    <xdr:grpSp>
      <xdr:nvGrpSpPr>
        <xdr:cNvPr id="4" name="グループ化 10">
          <a:extLst>
            <a:ext uri="{FF2B5EF4-FFF2-40B4-BE49-F238E27FC236}">
              <a16:creationId xmlns:a16="http://schemas.microsoft.com/office/drawing/2014/main" id="{00000000-0008-0000-0000-000004000000}"/>
            </a:ext>
          </a:extLst>
        </xdr:cNvPr>
        <xdr:cNvGrpSpPr>
          <a:grpSpLocks/>
        </xdr:cNvGrpSpPr>
      </xdr:nvGrpSpPr>
      <xdr:grpSpPr bwMode="auto">
        <a:xfrm>
          <a:off x="21153185" y="11694139"/>
          <a:ext cx="6899846" cy="654264"/>
          <a:chOff x="11744324" y="10277475"/>
          <a:chExt cx="4772025" cy="619125"/>
        </a:xfrm>
      </xdr:grpSpPr>
      <xdr:sp macro="" textlink="">
        <xdr:nvSpPr>
          <xdr:cNvPr id="5" name="角丸四角形 4">
            <a:hlinkClick xmlns:r="http://schemas.openxmlformats.org/officeDocument/2006/relationships" r:id="rId6"/>
            <a:extLst>
              <a:ext uri="{FF2B5EF4-FFF2-40B4-BE49-F238E27FC236}">
                <a16:creationId xmlns:a16="http://schemas.microsoft.com/office/drawing/2014/main" id="{00000000-0008-0000-0000-000005000000}"/>
              </a:ext>
            </a:extLst>
          </xdr:cNvPr>
          <xdr:cNvSpPr/>
        </xdr:nvSpPr>
        <xdr:spPr bwMode="auto">
          <a:xfrm>
            <a:off x="11744324" y="10277475"/>
            <a:ext cx="4772025" cy="6191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lvl="3" algn="l">
              <a:lnSpc>
                <a:spcPts val="900"/>
              </a:lnSpc>
            </a:pPr>
            <a:r>
              <a:rPr kumimoji="1" lang="en-US" altLang="ja-JP" sz="1100" b="1"/>
              <a:t>Campus Map</a:t>
            </a:r>
          </a:p>
          <a:p>
            <a:pPr marL="1371600" marR="0" lvl="3" indent="0" defTabSz="914400" eaLnBrk="1" fontAlgn="auto" latinLnBrk="0" hangingPunct="1">
              <a:lnSpc>
                <a:spcPts val="11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http://www.osaka-u.ac.jp/en/access/index.html</a:t>
            </a:r>
            <a:endParaRPr lang="ja-JP" altLang="ja-JP">
              <a:effectLst/>
            </a:endParaRPr>
          </a:p>
        </xdr:txBody>
      </xdr:sp>
      <xdr:pic>
        <xdr:nvPicPr>
          <xdr:cNvPr id="6" name="図 5" descr="C:\Documents and Settings\u212022k\Local Settings\Temporary Internet Files\Content.IE5\JDUFN8B7\MC900319484[1].wm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11972495" y="10342267"/>
            <a:ext cx="671473" cy="489541"/>
          </a:xfrm>
          <a:prstGeom prst="rect">
            <a:avLst/>
          </a:prstGeom>
          <a:ln>
            <a:noFill/>
          </a:ln>
          <a:effectLst>
            <a:outerShdw blurRad="292100" dist="139700" dir="2700000" algn="tl" rotWithShape="0">
              <a:srgbClr val="333333">
                <a:alpha val="65000"/>
              </a:srgbClr>
            </a:outerShdw>
          </a:effectLst>
          <a:extLst/>
        </xdr:spPr>
      </xdr:pic>
    </xdr:grpSp>
    <xdr:clientData/>
  </xdr:twoCellAnchor>
  <xdr:twoCellAnchor>
    <xdr:from>
      <xdr:col>15</xdr:col>
      <xdr:colOff>1225924</xdr:colOff>
      <xdr:row>60</xdr:row>
      <xdr:rowOff>125058</xdr:rowOff>
    </xdr:from>
    <xdr:to>
      <xdr:col>18</xdr:col>
      <xdr:colOff>301663</xdr:colOff>
      <xdr:row>67</xdr:row>
      <xdr:rowOff>155538</xdr:rowOff>
    </xdr:to>
    <xdr:grpSp>
      <xdr:nvGrpSpPr>
        <xdr:cNvPr id="7" name="グループ化 16">
          <a:extLst>
            <a:ext uri="{FF2B5EF4-FFF2-40B4-BE49-F238E27FC236}">
              <a16:creationId xmlns:a16="http://schemas.microsoft.com/office/drawing/2014/main" id="{00000000-0008-0000-0000-000007000000}"/>
            </a:ext>
          </a:extLst>
        </xdr:cNvPr>
        <xdr:cNvGrpSpPr>
          <a:grpSpLocks/>
        </xdr:cNvGrpSpPr>
      </xdr:nvGrpSpPr>
      <xdr:grpSpPr bwMode="auto">
        <a:xfrm>
          <a:off x="21119567" y="12466737"/>
          <a:ext cx="6899846" cy="1486444"/>
          <a:chOff x="11772900" y="8753475"/>
          <a:chExt cx="4772025" cy="619125"/>
        </a:xfrm>
      </xdr:grpSpPr>
      <xdr:sp macro="" textlink="">
        <xdr:nvSpPr>
          <xdr:cNvPr id="8" name="角丸四角形 7">
            <a:hlinkClick xmlns:r="http://schemas.openxmlformats.org/officeDocument/2006/relationships" r:id="rId8"/>
            <a:extLst>
              <a:ext uri="{FF2B5EF4-FFF2-40B4-BE49-F238E27FC236}">
                <a16:creationId xmlns:a16="http://schemas.microsoft.com/office/drawing/2014/main" id="{00000000-0008-0000-0000-000008000000}"/>
              </a:ext>
            </a:extLst>
          </xdr:cNvPr>
          <xdr:cNvSpPr/>
        </xdr:nvSpPr>
        <xdr:spPr bwMode="auto">
          <a:xfrm>
            <a:off x="11772900" y="8753475"/>
            <a:ext cx="4772025" cy="6191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lvl="3" algn="l"/>
            <a:r>
              <a:rPr kumimoji="1" lang="en-US" altLang="ja-JP" sz="1100" b="1"/>
              <a:t>Inter</a:t>
            </a:r>
            <a:r>
              <a:rPr kumimoji="1" lang="en-US" altLang="ja-JP" sz="1100" b="1" baseline="0"/>
              <a:t> Campus Shuttle Bus</a:t>
            </a:r>
            <a:endParaRPr kumimoji="1" lang="en-US" altLang="ja-JP" sz="1100" b="1"/>
          </a:p>
          <a:p>
            <a:pPr lvl="3"/>
            <a:r>
              <a:rPr kumimoji="1" lang="en-US" altLang="ja-JP" sz="1100">
                <a:solidFill>
                  <a:schemeClr val="dk1"/>
                </a:solidFill>
                <a:effectLst/>
                <a:latin typeface="+mn-lt"/>
                <a:ea typeface="+mn-ea"/>
                <a:cs typeface="+mn-cs"/>
              </a:rPr>
              <a:t>http://www.osaka-u.ac.jp/en/access/bus.html</a:t>
            </a:r>
            <a:endParaRPr lang="ja-JP" altLang="ja-JP">
              <a:effectLst/>
            </a:endParaRPr>
          </a:p>
        </xdr:txBody>
      </xdr:sp>
      <xdr:pic>
        <xdr:nvPicPr>
          <xdr:cNvPr id="9" name="図 42" descr="C:\Documents and Settings\u212022k\Local Settings\Temporary Internet Files\Content.IE5\10JOT1AM\MC900346863[1].wm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001500" y="8891587"/>
            <a:ext cx="702369"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1220433</xdr:colOff>
      <xdr:row>68</xdr:row>
      <xdr:rowOff>95810</xdr:rowOff>
    </xdr:from>
    <xdr:to>
      <xdr:col>18</xdr:col>
      <xdr:colOff>301973</xdr:colOff>
      <xdr:row>77</xdr:row>
      <xdr:rowOff>112059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bwMode="auto">
        <a:xfrm>
          <a:off x="20897962" y="12321428"/>
          <a:ext cx="6892040" cy="152904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HUS: (Suita) School</a:t>
          </a:r>
          <a:r>
            <a:rPr kumimoji="1" lang="en-US" altLang="ja-JP" sz="1100" baseline="0"/>
            <a:t> /Graguate School of Human Sciences</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CELAS: (Toyonaka)</a:t>
          </a:r>
          <a:r>
            <a:rPr lang="en-US" altLang="ja-JP" sz="1100">
              <a:solidFill>
                <a:schemeClr val="dk1"/>
              </a:solidFill>
              <a:effectLst/>
              <a:latin typeface="+mn-lt"/>
              <a:ea typeface="+mn-ea"/>
              <a:cs typeface="+mn-cs"/>
            </a:rPr>
            <a:t>Center for Education in Liberal Arts and Sciences</a:t>
          </a:r>
          <a:endParaRPr kumimoji="1" lang="en-US" altLang="ja-JP" sz="1100"/>
        </a:p>
        <a:p>
          <a:r>
            <a:rPr kumimoji="1" lang="en-US" altLang="ja-JP" sz="1100">
              <a:solidFill>
                <a:schemeClr val="dk1"/>
              </a:solidFill>
              <a:effectLst/>
              <a:latin typeface="+mn-lt"/>
              <a:ea typeface="+mn-ea"/>
              <a:cs typeface="+mn-cs"/>
            </a:rPr>
            <a:t>Lecture bldg(Let.Law.Econ)</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(Toyonaka)</a:t>
          </a:r>
          <a:r>
            <a:rPr kumimoji="1" lang="en-US"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Letters, Law and Economics Building</a:t>
          </a:r>
          <a:endParaRPr lang="ja-JP" altLang="ja-JP">
            <a:effectLst/>
          </a:endParaRPr>
        </a:p>
        <a:p>
          <a:r>
            <a:rPr lang="en-US" altLang="ja-JP" sz="1100">
              <a:solidFill>
                <a:schemeClr val="dk1"/>
              </a:solidFill>
              <a:effectLst/>
              <a:latin typeface="+mn-lt"/>
              <a:ea typeface="+mn-ea"/>
              <a:cs typeface="+mn-cs"/>
            </a:rPr>
            <a:t>Lecture bldg(Law.Econ)</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(Toyonaka)Graduate School of Law and Graduate School of Economics/Lecture Building</a:t>
          </a:r>
          <a:endParaRPr lang="ja-JP" altLang="ja-JP">
            <a:effectLst/>
          </a:endParaRPr>
        </a:p>
        <a:p>
          <a:pPr eaLnBrk="1" fontAlgn="auto" latinLnBrk="0" hangingPunct="1"/>
          <a:r>
            <a:rPr kumimoji="1" lang="en-US" altLang="ja-JP" sz="1100">
              <a:solidFill>
                <a:schemeClr val="dk1"/>
              </a:solidFill>
              <a:effectLst/>
              <a:latin typeface="+mn-lt"/>
              <a:ea typeface="+mn-ea"/>
              <a:cs typeface="+mn-cs"/>
            </a:rPr>
            <a:t>Research bldg(Law.Econ)</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(Toyonaka)Graduate School of Law and Graduate School of Economics/Research Building </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OSIPP:(Toyonaka)Osaka</a:t>
          </a:r>
          <a:r>
            <a:rPr kumimoji="1" lang="en-US" altLang="ja-JP" sz="1100" baseline="0">
              <a:solidFill>
                <a:schemeClr val="dk1"/>
              </a:solidFill>
              <a:effectLst/>
              <a:latin typeface="+mn-lt"/>
              <a:ea typeface="+mn-ea"/>
              <a:cs typeface="+mn-cs"/>
            </a:rPr>
            <a:t> School of </a:t>
          </a:r>
          <a:r>
            <a:rPr kumimoji="1" lang="en-US" altLang="ja-JP" sz="1100">
              <a:solidFill>
                <a:schemeClr val="dk1"/>
              </a:solidFill>
              <a:effectLst/>
              <a:latin typeface="+mn-lt"/>
              <a:ea typeface="+mn-ea"/>
              <a:cs typeface="+mn-cs"/>
            </a:rPr>
            <a:t>International Public Policy </a:t>
          </a:r>
          <a:endParaRPr lang="ja-JP" altLang="ja-JP">
            <a:effectLst/>
          </a:endParaRPr>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109"/>
  <sheetViews>
    <sheetView showGridLines="0" tabSelected="1" zoomScale="70" zoomScaleNormal="70" zoomScalePageLayoutView="85" workbookViewId="0">
      <pane xSplit="1" ySplit="7" topLeftCell="F66" activePane="bottomRight" state="frozen"/>
      <selection pane="topRight" activeCell="B1" sqref="B1"/>
      <selection pane="bottomLeft" activeCell="A3" sqref="A3"/>
      <selection pane="bottomRight" activeCell="J97" sqref="J97"/>
    </sheetView>
  </sheetViews>
  <sheetFormatPr defaultColWidth="9" defaultRowHeight="13.5"/>
  <cols>
    <col min="1" max="1" width="6.5" style="2" customWidth="1"/>
    <col min="2" max="2" width="4.375" style="38" customWidth="1"/>
    <col min="3" max="3" width="7.125" style="2" customWidth="1"/>
    <col min="4" max="4" width="46.125" style="2" customWidth="1"/>
    <col min="5" max="5" width="21.875" style="23" customWidth="1"/>
    <col min="6" max="6" width="31.625" style="23" customWidth="1"/>
    <col min="7" max="7" width="11" style="23" customWidth="1"/>
    <col min="8" max="8" width="4.375" style="38" customWidth="1"/>
    <col min="9" max="9" width="7.5" style="2" customWidth="1"/>
    <col min="10" max="10" width="42.125" style="2" customWidth="1"/>
    <col min="11" max="11" width="21.875" style="23" customWidth="1"/>
    <col min="12" max="12" width="34.125" style="23" customWidth="1"/>
    <col min="13" max="13" width="10.125" style="23" customWidth="1"/>
    <col min="14" max="14" width="4.375" style="20" customWidth="1"/>
    <col min="15" max="15" width="7.5" style="2" customWidth="1"/>
    <col min="16" max="16" width="45.125" style="2" customWidth="1"/>
    <col min="17" max="17" width="21.875" style="23" customWidth="1"/>
    <col min="18" max="18" width="35.5" style="23" customWidth="1"/>
    <col min="19" max="19" width="11.5" style="2" customWidth="1"/>
    <col min="20" max="16384" width="9" style="2"/>
  </cols>
  <sheetData>
    <row r="1" spans="1:25" ht="69" customHeight="1" thickBot="1">
      <c r="B1" s="66"/>
      <c r="C1" s="66"/>
      <c r="D1" s="66"/>
      <c r="E1" s="66"/>
      <c r="F1" s="66"/>
      <c r="G1" s="66"/>
      <c r="H1" s="66"/>
      <c r="I1" s="66"/>
      <c r="J1" s="444" t="s">
        <v>305</v>
      </c>
      <c r="K1" s="445"/>
      <c r="L1" s="445"/>
      <c r="M1" s="445"/>
      <c r="N1" s="445"/>
      <c r="O1" s="445"/>
      <c r="P1" s="445"/>
      <c r="Q1" s="66"/>
      <c r="R1" s="66"/>
      <c r="S1" s="66"/>
      <c r="T1" s="66"/>
      <c r="U1" s="66"/>
      <c r="V1" s="66"/>
      <c r="W1" s="66"/>
      <c r="X1" s="66"/>
      <c r="Y1" s="66"/>
    </row>
    <row r="2" spans="1:25" ht="19.5" customHeight="1">
      <c r="B2" s="367" t="s">
        <v>58</v>
      </c>
      <c r="C2" s="367"/>
      <c r="D2" s="367"/>
      <c r="E2" s="356"/>
      <c r="F2" s="356"/>
      <c r="G2" s="356"/>
      <c r="H2" s="356"/>
      <c r="I2" s="356"/>
      <c r="J2" s="66"/>
      <c r="K2" s="66"/>
      <c r="L2" s="67"/>
      <c r="M2" s="67"/>
      <c r="N2" s="67"/>
      <c r="O2" s="67"/>
      <c r="P2" s="67"/>
      <c r="Q2" s="66"/>
      <c r="R2" s="66"/>
    </row>
    <row r="3" spans="1:25" ht="19.5" customHeight="1">
      <c r="B3" s="367" t="s">
        <v>59</v>
      </c>
      <c r="C3" s="367"/>
      <c r="D3" s="367"/>
      <c r="E3" s="356"/>
      <c r="F3" s="356"/>
      <c r="G3" s="356"/>
      <c r="H3" s="356"/>
      <c r="I3" s="356"/>
      <c r="J3" s="66"/>
      <c r="K3" s="66"/>
      <c r="L3" s="67"/>
      <c r="M3" s="67"/>
      <c r="N3" s="67"/>
      <c r="O3" s="67"/>
      <c r="P3" s="67"/>
      <c r="Q3" s="66"/>
      <c r="R3" s="66"/>
    </row>
    <row r="4" spans="1:25" ht="19.5" customHeight="1">
      <c r="B4" s="367" t="s">
        <v>60</v>
      </c>
      <c r="C4" s="367"/>
      <c r="D4" s="367"/>
      <c r="E4" s="356"/>
      <c r="F4" s="356"/>
      <c r="G4" s="356"/>
      <c r="H4" s="356"/>
      <c r="I4" s="356"/>
      <c r="J4" s="66"/>
      <c r="K4" s="66"/>
      <c r="L4" s="67"/>
      <c r="M4" s="67"/>
      <c r="N4" s="67"/>
      <c r="O4" s="67"/>
      <c r="P4" s="67"/>
      <c r="Q4" s="66"/>
      <c r="R4" s="66"/>
    </row>
    <row r="5" spans="1:25" ht="19.5" customHeight="1">
      <c r="B5" s="367" t="s">
        <v>61</v>
      </c>
      <c r="C5" s="367"/>
      <c r="D5" s="367"/>
      <c r="E5" s="356"/>
      <c r="F5" s="356"/>
      <c r="G5" s="356"/>
      <c r="H5" s="356"/>
      <c r="I5" s="356"/>
      <c r="J5" s="66"/>
      <c r="K5" s="66"/>
      <c r="L5" s="67"/>
      <c r="M5" s="67"/>
      <c r="N5" s="67"/>
      <c r="O5" s="67"/>
      <c r="P5" s="67"/>
      <c r="Q5" s="66"/>
      <c r="R5" s="66"/>
    </row>
    <row r="6" spans="1:25" ht="19.5" customHeight="1"/>
    <row r="7" spans="1:25" s="4" customFormat="1" ht="13.5" customHeight="1" thickBot="1">
      <c r="A7" s="288"/>
      <c r="B7" s="289"/>
      <c r="C7" s="289"/>
      <c r="D7" s="289"/>
      <c r="E7" s="289"/>
      <c r="F7" s="289"/>
      <c r="G7" s="290"/>
      <c r="H7" s="289"/>
      <c r="I7" s="289"/>
      <c r="J7" s="289"/>
      <c r="K7" s="289"/>
      <c r="L7" s="289"/>
      <c r="M7" s="290"/>
      <c r="N7" s="289"/>
      <c r="O7" s="289"/>
      <c r="P7" s="289"/>
      <c r="Q7" s="289"/>
      <c r="R7" s="289"/>
    </row>
    <row r="8" spans="1:25" s="4" customFormat="1" ht="30" customHeight="1" thickBot="1">
      <c r="A8" s="3"/>
      <c r="B8" s="335" t="s">
        <v>34</v>
      </c>
      <c r="C8" s="357"/>
      <c r="D8" s="357"/>
      <c r="E8" s="357"/>
      <c r="F8" s="357"/>
      <c r="G8" s="358"/>
      <c r="H8" s="335" t="s">
        <v>11</v>
      </c>
      <c r="I8" s="357"/>
      <c r="J8" s="357"/>
      <c r="K8" s="357"/>
      <c r="L8" s="357"/>
      <c r="M8" s="358"/>
      <c r="N8" s="335" t="s">
        <v>12</v>
      </c>
      <c r="O8" s="357"/>
      <c r="P8" s="357"/>
      <c r="Q8" s="357"/>
      <c r="R8" s="357"/>
      <c r="S8" s="368"/>
    </row>
    <row r="9" spans="1:25" s="7" customFormat="1" ht="30.75" customHeight="1" thickBot="1">
      <c r="A9" s="227" t="s">
        <v>35</v>
      </c>
      <c r="B9" s="221" t="s">
        <v>37</v>
      </c>
      <c r="C9" s="231" t="s">
        <v>24</v>
      </c>
      <c r="D9" s="226" t="s">
        <v>25</v>
      </c>
      <c r="E9" s="230" t="s">
        <v>26</v>
      </c>
      <c r="F9" s="225" t="s">
        <v>38</v>
      </c>
      <c r="G9" s="252" t="s">
        <v>57</v>
      </c>
      <c r="H9" s="54" t="s">
        <v>39</v>
      </c>
      <c r="I9" s="55" t="s">
        <v>24</v>
      </c>
      <c r="J9" s="56" t="s">
        <v>25</v>
      </c>
      <c r="K9" s="57" t="s">
        <v>26</v>
      </c>
      <c r="L9" s="63" t="s">
        <v>40</v>
      </c>
      <c r="M9" s="175" t="s">
        <v>57</v>
      </c>
      <c r="N9" s="54" t="s">
        <v>36</v>
      </c>
      <c r="O9" s="5" t="s">
        <v>24</v>
      </c>
      <c r="P9" s="56" t="s">
        <v>25</v>
      </c>
      <c r="Q9" s="57" t="s">
        <v>41</v>
      </c>
      <c r="R9" s="58" t="s">
        <v>27</v>
      </c>
      <c r="S9" s="68" t="s">
        <v>57</v>
      </c>
    </row>
    <row r="10" spans="1:25" s="10" customFormat="1" ht="13.5" customHeight="1">
      <c r="A10" s="305">
        <v>1</v>
      </c>
      <c r="B10" s="291"/>
      <c r="C10" s="293"/>
      <c r="D10" s="232"/>
      <c r="E10" s="238"/>
      <c r="F10" s="242"/>
      <c r="G10" s="297"/>
      <c r="H10" s="295" t="s">
        <v>106</v>
      </c>
      <c r="I10" s="296">
        <v>881229</v>
      </c>
      <c r="J10" s="6" t="s">
        <v>154</v>
      </c>
      <c r="K10" s="31" t="s">
        <v>155</v>
      </c>
      <c r="L10" s="31"/>
      <c r="M10" s="428"/>
      <c r="N10" s="295" t="s">
        <v>106</v>
      </c>
      <c r="O10" s="308"/>
      <c r="P10" s="6" t="s">
        <v>113</v>
      </c>
      <c r="Q10" s="31" t="s">
        <v>283</v>
      </c>
      <c r="R10" s="31"/>
      <c r="S10" s="362" t="str">
        <f>IF(M10="YES","YES","")</f>
        <v/>
      </c>
    </row>
    <row r="11" spans="1:25" s="7" customFormat="1" ht="13.5" customHeight="1">
      <c r="A11" s="306"/>
      <c r="B11" s="292"/>
      <c r="C11" s="294"/>
      <c r="D11" s="233"/>
      <c r="E11" s="234"/>
      <c r="F11" s="237"/>
      <c r="G11" s="298"/>
      <c r="H11" s="261"/>
      <c r="I11" s="256"/>
      <c r="J11" s="13" t="s">
        <v>91</v>
      </c>
      <c r="K11" s="32" t="s">
        <v>156</v>
      </c>
      <c r="L11" s="61"/>
      <c r="M11" s="304"/>
      <c r="N11" s="261"/>
      <c r="O11" s="256"/>
      <c r="P11" s="13" t="s">
        <v>114</v>
      </c>
      <c r="Q11" s="32" t="s">
        <v>284</v>
      </c>
      <c r="R11" s="61"/>
      <c r="S11" s="354"/>
    </row>
    <row r="12" spans="1:25" s="10" customFormat="1" ht="13.5" customHeight="1">
      <c r="A12" s="306"/>
      <c r="B12" s="292"/>
      <c r="C12" s="294"/>
      <c r="D12" s="235"/>
      <c r="E12" s="239"/>
      <c r="F12" s="241"/>
      <c r="G12" s="299"/>
      <c r="H12" s="260" t="s">
        <v>106</v>
      </c>
      <c r="I12" s="281">
        <v>881230</v>
      </c>
      <c r="J12" s="29" t="s">
        <v>157</v>
      </c>
      <c r="K12" s="31" t="s">
        <v>85</v>
      </c>
      <c r="L12" s="31"/>
      <c r="M12" s="257" t="s">
        <v>304</v>
      </c>
      <c r="N12" s="260" t="s">
        <v>106</v>
      </c>
      <c r="O12" s="277"/>
      <c r="P12" s="29" t="s">
        <v>115</v>
      </c>
      <c r="Q12" s="31" t="s">
        <v>285</v>
      </c>
      <c r="R12" s="31"/>
      <c r="S12" s="354" t="str">
        <f t="shared" ref="S12" si="0">IF(M12="YES","YES","")</f>
        <v/>
      </c>
    </row>
    <row r="13" spans="1:25" s="7" customFormat="1" ht="13.5" customHeight="1">
      <c r="A13" s="306"/>
      <c r="B13" s="292"/>
      <c r="C13" s="294"/>
      <c r="D13" s="235"/>
      <c r="E13" s="234"/>
      <c r="F13" s="241"/>
      <c r="G13" s="298"/>
      <c r="H13" s="261"/>
      <c r="I13" s="256"/>
      <c r="J13" s="13" t="s">
        <v>92</v>
      </c>
      <c r="K13" s="32" t="s">
        <v>156</v>
      </c>
      <c r="L13" s="61"/>
      <c r="M13" s="257"/>
      <c r="N13" s="261"/>
      <c r="O13" s="256"/>
      <c r="P13" s="13" t="s">
        <v>116</v>
      </c>
      <c r="Q13" s="32" t="s">
        <v>43</v>
      </c>
      <c r="R13" s="61"/>
      <c r="S13" s="354"/>
    </row>
    <row r="14" spans="1:25" s="10" customFormat="1" ht="13.5" customHeight="1">
      <c r="A14" s="306"/>
      <c r="B14" s="292"/>
      <c r="C14" s="294"/>
      <c r="D14" s="235"/>
      <c r="E14" s="236"/>
      <c r="F14" s="237"/>
      <c r="G14" s="299"/>
      <c r="H14" s="260" t="s">
        <v>106</v>
      </c>
      <c r="I14" s="281">
        <v>881261</v>
      </c>
      <c r="J14" s="29" t="s">
        <v>158</v>
      </c>
      <c r="K14" s="17" t="s">
        <v>17</v>
      </c>
      <c r="L14" s="31"/>
      <c r="M14" s="304"/>
      <c r="N14" s="300" t="s">
        <v>106</v>
      </c>
      <c r="O14" s="302" t="s">
        <v>226</v>
      </c>
      <c r="P14" s="159" t="s">
        <v>117</v>
      </c>
      <c r="Q14" s="160" t="s">
        <v>167</v>
      </c>
      <c r="R14" s="160"/>
      <c r="S14" s="354" t="str">
        <f t="shared" ref="S14" si="1">IF(M14="YES","YES","")</f>
        <v/>
      </c>
    </row>
    <row r="15" spans="1:25" s="7" customFormat="1" ht="13.5" customHeight="1">
      <c r="A15" s="306"/>
      <c r="B15" s="292"/>
      <c r="C15" s="294"/>
      <c r="D15" s="235"/>
      <c r="E15" s="236"/>
      <c r="F15" s="237"/>
      <c r="G15" s="298"/>
      <c r="H15" s="261"/>
      <c r="I15" s="267"/>
      <c r="J15" s="8" t="s">
        <v>159</v>
      </c>
      <c r="K15" s="14" t="s">
        <v>44</v>
      </c>
      <c r="L15" s="61"/>
      <c r="M15" s="304"/>
      <c r="N15" s="301"/>
      <c r="O15" s="303"/>
      <c r="P15" s="161" t="s">
        <v>118</v>
      </c>
      <c r="Q15" s="162" t="s">
        <v>227</v>
      </c>
      <c r="R15" s="189"/>
      <c r="S15" s="354"/>
    </row>
    <row r="16" spans="1:25" s="10" customFormat="1" ht="13.5" customHeight="1">
      <c r="A16" s="306"/>
      <c r="B16" s="292"/>
      <c r="C16" s="294"/>
      <c r="D16" s="235"/>
      <c r="E16" s="236"/>
      <c r="F16" s="241"/>
      <c r="G16" s="299"/>
      <c r="H16" s="260"/>
      <c r="I16" s="277"/>
      <c r="J16" s="29" t="s">
        <v>93</v>
      </c>
      <c r="K16" s="17"/>
      <c r="L16" s="31"/>
      <c r="M16" s="304"/>
      <c r="N16" s="260" t="s">
        <v>106</v>
      </c>
      <c r="O16" s="277"/>
      <c r="P16" s="29" t="s">
        <v>132</v>
      </c>
      <c r="Q16" s="17" t="s">
        <v>33</v>
      </c>
      <c r="R16" s="31"/>
      <c r="S16" s="354" t="str">
        <f t="shared" ref="S16" si="2">IF(M16="YES","YES","")</f>
        <v/>
      </c>
    </row>
    <row r="17" spans="1:19" s="10" customFormat="1" ht="13.5" customHeight="1">
      <c r="A17" s="306"/>
      <c r="B17" s="292"/>
      <c r="C17" s="294"/>
      <c r="D17" s="235"/>
      <c r="E17" s="236"/>
      <c r="F17" s="241"/>
      <c r="G17" s="298"/>
      <c r="H17" s="261"/>
      <c r="I17" s="256"/>
      <c r="J17" s="13" t="s">
        <v>160</v>
      </c>
      <c r="K17" s="14"/>
      <c r="L17" s="61"/>
      <c r="M17" s="304"/>
      <c r="N17" s="261"/>
      <c r="O17" s="256"/>
      <c r="P17" s="13" t="s">
        <v>133</v>
      </c>
      <c r="Q17" s="9" t="s">
        <v>48</v>
      </c>
      <c r="R17" s="61"/>
      <c r="S17" s="354"/>
    </row>
    <row r="18" spans="1:19" s="10" customFormat="1" ht="13.5" customHeight="1">
      <c r="A18" s="306"/>
      <c r="B18" s="244"/>
      <c r="C18" s="240"/>
      <c r="D18" s="235"/>
      <c r="E18" s="236"/>
      <c r="F18" s="241"/>
      <c r="G18" s="299"/>
      <c r="H18" s="266" t="s">
        <v>105</v>
      </c>
      <c r="I18" s="310">
        <v>881269</v>
      </c>
      <c r="J18" s="77" t="s">
        <v>94</v>
      </c>
      <c r="K18" s="75" t="s">
        <v>86</v>
      </c>
      <c r="L18" s="75" t="s">
        <v>161</v>
      </c>
      <c r="M18" s="304"/>
      <c r="N18" s="397"/>
      <c r="O18" s="277"/>
      <c r="P18" s="450"/>
      <c r="Q18" s="365"/>
      <c r="R18" s="378"/>
      <c r="S18" s="354" t="str">
        <f t="shared" ref="S18" si="3">IF(M18="YES","YES","")</f>
        <v/>
      </c>
    </row>
    <row r="19" spans="1:19" s="7" customFormat="1" ht="13.5" customHeight="1">
      <c r="A19" s="306"/>
      <c r="B19" s="244"/>
      <c r="C19" s="240"/>
      <c r="D19" s="235"/>
      <c r="E19" s="236"/>
      <c r="F19" s="241"/>
      <c r="G19" s="298"/>
      <c r="H19" s="309"/>
      <c r="I19" s="311"/>
      <c r="J19" s="78" t="s">
        <v>162</v>
      </c>
      <c r="K19" s="76" t="s">
        <v>87</v>
      </c>
      <c r="L19" s="174" t="s">
        <v>163</v>
      </c>
      <c r="M19" s="304"/>
      <c r="N19" s="398"/>
      <c r="O19" s="256"/>
      <c r="P19" s="451"/>
      <c r="Q19" s="366"/>
      <c r="R19" s="379"/>
      <c r="S19" s="354"/>
    </row>
    <row r="20" spans="1:19" s="10" customFormat="1" ht="13.5" customHeight="1">
      <c r="A20" s="306"/>
      <c r="B20" s="247"/>
      <c r="C20" s="240"/>
      <c r="D20" s="235"/>
      <c r="E20" s="236"/>
      <c r="F20" s="241"/>
      <c r="G20" s="299"/>
      <c r="H20" s="260" t="s">
        <v>106</v>
      </c>
      <c r="I20" s="281">
        <v>881231</v>
      </c>
      <c r="J20" s="29" t="s">
        <v>95</v>
      </c>
      <c r="K20" s="17" t="s">
        <v>88</v>
      </c>
      <c r="L20" s="31"/>
      <c r="M20" s="304"/>
      <c r="N20" s="260" t="s">
        <v>106</v>
      </c>
      <c r="O20" s="277"/>
      <c r="P20" s="29" t="s">
        <v>119</v>
      </c>
      <c r="Q20" s="17" t="s">
        <v>286</v>
      </c>
      <c r="R20" s="31"/>
      <c r="S20" s="354" t="str">
        <f t="shared" ref="S20" si="4">IF(M20="YES","YES","")</f>
        <v/>
      </c>
    </row>
    <row r="21" spans="1:19" s="7" customFormat="1" ht="13.5" customHeight="1">
      <c r="A21" s="306"/>
      <c r="B21" s="248"/>
      <c r="C21" s="240"/>
      <c r="D21" s="235"/>
      <c r="E21" s="236"/>
      <c r="F21" s="241"/>
      <c r="G21" s="298"/>
      <c r="H21" s="261"/>
      <c r="I21" s="256"/>
      <c r="J21" s="13" t="s">
        <v>96</v>
      </c>
      <c r="K21" s="14" t="s">
        <v>164</v>
      </c>
      <c r="L21" s="61"/>
      <c r="M21" s="304"/>
      <c r="N21" s="261"/>
      <c r="O21" s="256"/>
      <c r="P21" s="13" t="s">
        <v>120</v>
      </c>
      <c r="Q21" s="14" t="s">
        <v>44</v>
      </c>
      <c r="R21" s="61"/>
      <c r="S21" s="354"/>
    </row>
    <row r="22" spans="1:19" s="7" customFormat="1" ht="13.5" customHeight="1">
      <c r="A22" s="306"/>
      <c r="B22" s="247"/>
      <c r="C22" s="240"/>
      <c r="D22" s="235"/>
      <c r="E22" s="236"/>
      <c r="F22" s="241"/>
      <c r="G22" s="299"/>
      <c r="H22" s="260" t="s">
        <v>106</v>
      </c>
      <c r="I22" s="281">
        <v>881232</v>
      </c>
      <c r="J22" s="29" t="s">
        <v>165</v>
      </c>
      <c r="K22" s="17" t="s">
        <v>88</v>
      </c>
      <c r="L22" s="31"/>
      <c r="M22" s="257" t="s">
        <v>304</v>
      </c>
      <c r="N22" s="260" t="s">
        <v>106</v>
      </c>
      <c r="O22" s="277"/>
      <c r="P22" s="29" t="s">
        <v>121</v>
      </c>
      <c r="Q22" s="59" t="s">
        <v>21</v>
      </c>
      <c r="R22" s="31"/>
      <c r="S22" s="354" t="str">
        <f>IF(M22="YES","YES","")</f>
        <v/>
      </c>
    </row>
    <row r="23" spans="1:19" s="7" customFormat="1" ht="13.5" customHeight="1">
      <c r="A23" s="306"/>
      <c r="B23" s="247"/>
      <c r="C23" s="240"/>
      <c r="D23" s="235"/>
      <c r="E23" s="236"/>
      <c r="F23" s="241"/>
      <c r="G23" s="298"/>
      <c r="H23" s="261"/>
      <c r="I23" s="256"/>
      <c r="J23" s="13" t="s">
        <v>97</v>
      </c>
      <c r="K23" s="14" t="s">
        <v>89</v>
      </c>
      <c r="L23" s="61"/>
      <c r="M23" s="257"/>
      <c r="N23" s="261"/>
      <c r="O23" s="256"/>
      <c r="P23" s="13" t="s">
        <v>122</v>
      </c>
      <c r="Q23" s="60" t="s">
        <v>45</v>
      </c>
      <c r="R23" s="61"/>
      <c r="S23" s="354"/>
    </row>
    <row r="24" spans="1:19" s="7" customFormat="1" ht="13.5" customHeight="1">
      <c r="A24" s="306"/>
      <c r="B24" s="247"/>
      <c r="C24" s="240"/>
      <c r="D24" s="235"/>
      <c r="E24" s="236"/>
      <c r="F24" s="241"/>
      <c r="G24" s="299"/>
      <c r="H24" s="260" t="s">
        <v>106</v>
      </c>
      <c r="I24" s="281">
        <v>881234</v>
      </c>
      <c r="J24" s="16" t="s">
        <v>166</v>
      </c>
      <c r="K24" s="31" t="s">
        <v>167</v>
      </c>
      <c r="L24" s="31"/>
      <c r="M24" s="304"/>
      <c r="N24" s="260" t="s">
        <v>106</v>
      </c>
      <c r="O24" s="277"/>
      <c r="P24" s="16" t="s">
        <v>123</v>
      </c>
      <c r="Q24" s="17" t="s">
        <v>104</v>
      </c>
      <c r="R24" s="31"/>
      <c r="S24" s="354" t="str">
        <f t="shared" ref="S24" si="5">IF(M24="YES","YES","")</f>
        <v/>
      </c>
    </row>
    <row r="25" spans="1:19" s="7" customFormat="1" ht="13.5" customHeight="1">
      <c r="A25" s="306"/>
      <c r="B25" s="247"/>
      <c r="C25" s="240"/>
      <c r="D25" s="235"/>
      <c r="E25" s="236"/>
      <c r="F25" s="241"/>
      <c r="G25" s="298"/>
      <c r="H25" s="261"/>
      <c r="I25" s="312"/>
      <c r="J25" s="13" t="s">
        <v>168</v>
      </c>
      <c r="K25" s="32" t="s">
        <v>169</v>
      </c>
      <c r="L25" s="61"/>
      <c r="M25" s="304"/>
      <c r="N25" s="261"/>
      <c r="O25" s="256"/>
      <c r="P25" s="13" t="s">
        <v>125</v>
      </c>
      <c r="Q25" s="14" t="s">
        <v>14</v>
      </c>
      <c r="R25" s="61"/>
      <c r="S25" s="354"/>
    </row>
    <row r="26" spans="1:19" s="7" customFormat="1" ht="13.5" customHeight="1">
      <c r="A26" s="306"/>
      <c r="B26" s="247"/>
      <c r="C26" s="240"/>
      <c r="D26" s="235"/>
      <c r="E26" s="236"/>
      <c r="F26" s="241"/>
      <c r="G26" s="299"/>
      <c r="H26" s="260" t="s">
        <v>106</v>
      </c>
      <c r="I26" s="281">
        <v>881235</v>
      </c>
      <c r="J26" s="16" t="s">
        <v>170</v>
      </c>
      <c r="K26" s="17" t="s">
        <v>171</v>
      </c>
      <c r="L26" s="31"/>
      <c r="M26" s="257" t="s">
        <v>304</v>
      </c>
      <c r="N26" s="260" t="s">
        <v>106</v>
      </c>
      <c r="O26" s="277"/>
      <c r="P26" s="16" t="s">
        <v>126</v>
      </c>
      <c r="Q26" s="17" t="s">
        <v>124</v>
      </c>
      <c r="R26" s="31"/>
      <c r="S26" s="354" t="str">
        <f t="shared" ref="S26" si="6">IF(M26="YES","YES","")</f>
        <v/>
      </c>
    </row>
    <row r="27" spans="1:19" s="7" customFormat="1" ht="13.5" customHeight="1">
      <c r="A27" s="306"/>
      <c r="B27" s="247"/>
      <c r="C27" s="240"/>
      <c r="D27" s="235"/>
      <c r="E27" s="236"/>
      <c r="F27" s="241"/>
      <c r="G27" s="298"/>
      <c r="H27" s="261"/>
      <c r="I27" s="312"/>
      <c r="J27" s="13" t="s">
        <v>172</v>
      </c>
      <c r="K27" s="14" t="s">
        <v>173</v>
      </c>
      <c r="L27" s="61"/>
      <c r="M27" s="257"/>
      <c r="N27" s="261"/>
      <c r="O27" s="256"/>
      <c r="P27" s="13" t="s">
        <v>127</v>
      </c>
      <c r="Q27" s="14" t="s">
        <v>14</v>
      </c>
      <c r="R27" s="61"/>
      <c r="S27" s="354"/>
    </row>
    <row r="28" spans="1:19" s="10" customFormat="1" ht="13.5" customHeight="1">
      <c r="A28" s="306"/>
      <c r="B28" s="247"/>
      <c r="C28" s="240"/>
      <c r="D28" s="235"/>
      <c r="E28" s="236"/>
      <c r="F28" s="241"/>
      <c r="G28" s="299"/>
      <c r="H28" s="260" t="s">
        <v>106</v>
      </c>
      <c r="I28" s="281">
        <v>881236</v>
      </c>
      <c r="J28" s="16" t="s">
        <v>174</v>
      </c>
      <c r="K28" s="62" t="s">
        <v>19</v>
      </c>
      <c r="L28" s="31"/>
      <c r="M28" s="304"/>
      <c r="N28" s="260" t="s">
        <v>106</v>
      </c>
      <c r="O28" s="277"/>
      <c r="P28" s="16" t="s">
        <v>128</v>
      </c>
      <c r="Q28" s="17" t="s">
        <v>287</v>
      </c>
      <c r="R28" s="31"/>
      <c r="S28" s="354" t="str">
        <f>IF(M28="YES","YES","")</f>
        <v/>
      </c>
    </row>
    <row r="29" spans="1:19" s="7" customFormat="1" ht="13.5" customHeight="1">
      <c r="A29" s="306"/>
      <c r="B29" s="248"/>
      <c r="C29" s="240"/>
      <c r="D29" s="235"/>
      <c r="E29" s="236"/>
      <c r="F29" s="241"/>
      <c r="G29" s="298"/>
      <c r="H29" s="261"/>
      <c r="I29" s="312"/>
      <c r="J29" s="13" t="s">
        <v>175</v>
      </c>
      <c r="K29" s="35" t="s">
        <v>176</v>
      </c>
      <c r="L29" s="61"/>
      <c r="M29" s="304"/>
      <c r="N29" s="261"/>
      <c r="O29" s="256"/>
      <c r="P29" s="13" t="s">
        <v>129</v>
      </c>
      <c r="Q29" s="14" t="s">
        <v>29</v>
      </c>
      <c r="R29" s="61"/>
      <c r="S29" s="354"/>
    </row>
    <row r="30" spans="1:19" s="10" customFormat="1" ht="13.5" customHeight="1">
      <c r="A30" s="306"/>
      <c r="B30" s="247"/>
      <c r="C30" s="240"/>
      <c r="D30" s="235"/>
      <c r="E30" s="236"/>
      <c r="F30" s="241"/>
      <c r="G30" s="299"/>
      <c r="H30" s="260" t="s">
        <v>106</v>
      </c>
      <c r="I30" s="281">
        <v>881237</v>
      </c>
      <c r="J30" s="16" t="s">
        <v>177</v>
      </c>
      <c r="K30" s="17" t="s">
        <v>178</v>
      </c>
      <c r="L30" s="31" t="s">
        <v>179</v>
      </c>
      <c r="M30" s="257" t="s">
        <v>304</v>
      </c>
      <c r="N30" s="260" t="s">
        <v>106</v>
      </c>
      <c r="O30" s="277"/>
      <c r="P30" s="16" t="s">
        <v>130</v>
      </c>
      <c r="Q30" s="17" t="s">
        <v>18</v>
      </c>
      <c r="R30" s="31" t="s">
        <v>288</v>
      </c>
      <c r="S30" s="354" t="str">
        <f t="shared" ref="S30" si="7">IF(M30="YES","YES","")</f>
        <v/>
      </c>
    </row>
    <row r="31" spans="1:19" s="7" customFormat="1" ht="13.5" customHeight="1">
      <c r="A31" s="306"/>
      <c r="B31" s="248"/>
      <c r="C31" s="240"/>
      <c r="D31" s="235"/>
      <c r="E31" s="236"/>
      <c r="F31" s="241"/>
      <c r="G31" s="298"/>
      <c r="H31" s="261"/>
      <c r="I31" s="312"/>
      <c r="J31" s="13" t="s">
        <v>98</v>
      </c>
      <c r="K31" s="14" t="s">
        <v>30</v>
      </c>
      <c r="L31" s="61" t="s">
        <v>180</v>
      </c>
      <c r="M31" s="257"/>
      <c r="N31" s="261"/>
      <c r="O31" s="256"/>
      <c r="P31" s="13" t="s">
        <v>131</v>
      </c>
      <c r="Q31" s="14" t="s">
        <v>30</v>
      </c>
      <c r="R31" s="61" t="s">
        <v>289</v>
      </c>
      <c r="S31" s="354"/>
    </row>
    <row r="32" spans="1:19" s="10" customFormat="1" ht="13.5" customHeight="1">
      <c r="A32" s="306"/>
      <c r="B32" s="247"/>
      <c r="C32" s="240"/>
      <c r="D32" s="235"/>
      <c r="E32" s="236"/>
      <c r="F32" s="241"/>
      <c r="G32" s="299"/>
      <c r="H32" s="260" t="s">
        <v>106</v>
      </c>
      <c r="I32" s="281">
        <v>881282</v>
      </c>
      <c r="J32" s="16" t="s">
        <v>181</v>
      </c>
      <c r="K32" s="9" t="s">
        <v>90</v>
      </c>
      <c r="L32" s="31"/>
      <c r="M32" s="257" t="s">
        <v>304</v>
      </c>
      <c r="N32" s="260" t="s">
        <v>106</v>
      </c>
      <c r="O32" s="281">
        <v>881283</v>
      </c>
      <c r="P32" s="88" t="s">
        <v>290</v>
      </c>
      <c r="Q32" s="62" t="s">
        <v>291</v>
      </c>
      <c r="R32" s="31"/>
      <c r="S32" s="257" t="s">
        <v>304</v>
      </c>
    </row>
    <row r="33" spans="1:19" s="7" customFormat="1" ht="12.75" customHeight="1">
      <c r="A33" s="306"/>
      <c r="B33" s="248"/>
      <c r="C33" s="240"/>
      <c r="D33" s="235"/>
      <c r="E33" s="236"/>
      <c r="F33" s="241"/>
      <c r="G33" s="298"/>
      <c r="H33" s="261"/>
      <c r="I33" s="256"/>
      <c r="J33" s="8" t="s">
        <v>182</v>
      </c>
      <c r="K33" s="9" t="s">
        <v>183</v>
      </c>
      <c r="L33" s="61"/>
      <c r="M33" s="257"/>
      <c r="N33" s="261"/>
      <c r="O33" s="267"/>
      <c r="P33" s="87" t="s">
        <v>292</v>
      </c>
      <c r="Q33" s="35" t="s">
        <v>46</v>
      </c>
      <c r="R33" s="61"/>
      <c r="S33" s="257"/>
    </row>
    <row r="34" spans="1:19" s="10" customFormat="1" ht="12.75" customHeight="1">
      <c r="A34" s="306"/>
      <c r="B34" s="222"/>
      <c r="C34" s="233"/>
      <c r="D34" s="246"/>
      <c r="E34" s="233"/>
      <c r="F34" s="246"/>
      <c r="G34" s="299"/>
      <c r="H34" s="260" t="s">
        <v>106</v>
      </c>
      <c r="I34" s="281">
        <v>881273</v>
      </c>
      <c r="J34" s="16" t="s">
        <v>184</v>
      </c>
      <c r="K34" s="84" t="s">
        <v>185</v>
      </c>
      <c r="L34" s="31" t="s">
        <v>186</v>
      </c>
      <c r="M34" s="257" t="s">
        <v>304</v>
      </c>
      <c r="N34" s="260" t="s">
        <v>106</v>
      </c>
      <c r="O34" s="281">
        <v>881274</v>
      </c>
      <c r="P34" s="88" t="s">
        <v>134</v>
      </c>
      <c r="Q34" s="9" t="s">
        <v>90</v>
      </c>
      <c r="R34" s="31"/>
      <c r="S34" s="257" t="s">
        <v>304</v>
      </c>
    </row>
    <row r="35" spans="1:19" s="10" customFormat="1" ht="14.25" customHeight="1">
      <c r="A35" s="306"/>
      <c r="B35" s="222"/>
      <c r="C35" s="233"/>
      <c r="D35" s="246"/>
      <c r="E35" s="233"/>
      <c r="F35" s="246"/>
      <c r="G35" s="298"/>
      <c r="H35" s="261"/>
      <c r="I35" s="256"/>
      <c r="J35" s="8" t="s">
        <v>187</v>
      </c>
      <c r="K35" s="14" t="s">
        <v>136</v>
      </c>
      <c r="L35" s="61" t="s">
        <v>188</v>
      </c>
      <c r="M35" s="257"/>
      <c r="N35" s="261"/>
      <c r="O35" s="267"/>
      <c r="P35" s="87" t="s">
        <v>135</v>
      </c>
      <c r="Q35" s="14" t="s">
        <v>47</v>
      </c>
      <c r="R35" s="61"/>
      <c r="S35" s="257"/>
    </row>
    <row r="36" spans="1:19" s="10" customFormat="1" ht="14.25" customHeight="1">
      <c r="A36" s="306"/>
      <c r="B36" s="244"/>
      <c r="C36" s="245"/>
      <c r="D36" s="233"/>
      <c r="E36" s="236"/>
      <c r="F36" s="243"/>
      <c r="G36" s="299"/>
      <c r="H36" s="323"/>
      <c r="I36" s="277"/>
      <c r="J36" s="16"/>
      <c r="K36" s="17"/>
      <c r="L36" s="31"/>
      <c r="M36" s="304"/>
      <c r="N36" s="399" t="s">
        <v>106</v>
      </c>
      <c r="O36" s="380">
        <v>883105</v>
      </c>
      <c r="P36" s="205" t="s">
        <v>306</v>
      </c>
      <c r="Q36" s="206" t="s">
        <v>307</v>
      </c>
      <c r="R36" s="215"/>
      <c r="S36" s="257" t="s">
        <v>304</v>
      </c>
    </row>
    <row r="37" spans="1:19" s="10" customFormat="1" ht="14.25" customHeight="1" thickBot="1">
      <c r="A37" s="307"/>
      <c r="B37" s="250"/>
      <c r="C37" s="229"/>
      <c r="D37" s="249"/>
      <c r="E37" s="223"/>
      <c r="F37" s="228"/>
      <c r="G37" s="325"/>
      <c r="H37" s="453"/>
      <c r="I37" s="282"/>
      <c r="J37" s="105"/>
      <c r="K37" s="106"/>
      <c r="L37" s="167"/>
      <c r="M37" s="427"/>
      <c r="N37" s="400"/>
      <c r="O37" s="381"/>
      <c r="P37" s="212" t="s">
        <v>308</v>
      </c>
      <c r="Q37" s="213"/>
      <c r="R37" s="217"/>
      <c r="S37" s="396"/>
    </row>
    <row r="38" spans="1:19" s="10" customFormat="1" ht="14.25" customHeight="1">
      <c r="A38" s="305">
        <v>2</v>
      </c>
      <c r="B38" s="266" t="s">
        <v>209</v>
      </c>
      <c r="C38" s="395">
        <v>881210</v>
      </c>
      <c r="D38" s="224" t="s">
        <v>210</v>
      </c>
      <c r="E38" s="251" t="s">
        <v>211</v>
      </c>
      <c r="F38" s="237" t="s">
        <v>212</v>
      </c>
      <c r="G38" s="372" t="s">
        <v>304</v>
      </c>
      <c r="H38" s="260" t="s">
        <v>106</v>
      </c>
      <c r="I38" s="448">
        <v>881201</v>
      </c>
      <c r="J38" s="107" t="s">
        <v>189</v>
      </c>
      <c r="K38" s="108" t="s">
        <v>190</v>
      </c>
      <c r="L38" s="65"/>
      <c r="M38" s="370" t="s">
        <v>304</v>
      </c>
      <c r="N38" s="316" t="s">
        <v>105</v>
      </c>
      <c r="O38" s="382">
        <v>881225</v>
      </c>
      <c r="P38" s="137" t="s">
        <v>138</v>
      </c>
      <c r="Q38" s="117" t="s">
        <v>293</v>
      </c>
      <c r="R38" s="192"/>
      <c r="S38" s="369" t="s">
        <v>304</v>
      </c>
    </row>
    <row r="39" spans="1:19" s="7" customFormat="1" ht="13.5" customHeight="1">
      <c r="A39" s="384"/>
      <c r="B39" s="309"/>
      <c r="C39" s="383"/>
      <c r="D39" s="118" t="s">
        <v>213</v>
      </c>
      <c r="E39" s="119"/>
      <c r="F39" s="61" t="s">
        <v>214</v>
      </c>
      <c r="G39" s="369"/>
      <c r="H39" s="287"/>
      <c r="I39" s="449"/>
      <c r="J39" s="109" t="s">
        <v>191</v>
      </c>
      <c r="K39" s="110" t="s">
        <v>192</v>
      </c>
      <c r="L39" s="173"/>
      <c r="M39" s="371"/>
      <c r="N39" s="317"/>
      <c r="O39" s="383"/>
      <c r="P39" s="163" t="s">
        <v>139</v>
      </c>
      <c r="Q39" s="163"/>
      <c r="R39" s="32"/>
      <c r="S39" s="257"/>
    </row>
    <row r="40" spans="1:19" s="10" customFormat="1" ht="11.25" customHeight="1">
      <c r="A40" s="384"/>
      <c r="B40" s="246"/>
      <c r="C40" s="120"/>
      <c r="D40" s="16"/>
      <c r="E40" s="8"/>
      <c r="F40" s="79"/>
      <c r="G40" s="299"/>
      <c r="H40" s="260" t="s">
        <v>106</v>
      </c>
      <c r="I40" s="326" t="s">
        <v>193</v>
      </c>
      <c r="J40" s="111" t="s">
        <v>194</v>
      </c>
      <c r="K40" s="112" t="s">
        <v>85</v>
      </c>
      <c r="L40" s="160"/>
      <c r="M40" s="360"/>
      <c r="N40" s="313" t="s">
        <v>106</v>
      </c>
      <c r="O40" s="276">
        <v>881217</v>
      </c>
      <c r="P40" s="93" t="s">
        <v>294</v>
      </c>
      <c r="Q40" s="84" t="s">
        <v>8</v>
      </c>
      <c r="R40" s="176" t="s">
        <v>197</v>
      </c>
      <c r="S40" s="257" t="s">
        <v>304</v>
      </c>
    </row>
    <row r="41" spans="1:19" s="10" customFormat="1" ht="13.5" customHeight="1">
      <c r="A41" s="384"/>
      <c r="B41" s="246"/>
      <c r="C41" s="120"/>
      <c r="D41" s="8"/>
      <c r="E41" s="8"/>
      <c r="F41" s="79"/>
      <c r="G41" s="298"/>
      <c r="H41" s="287"/>
      <c r="I41" s="327"/>
      <c r="J41" s="113" t="s">
        <v>107</v>
      </c>
      <c r="K41" s="114" t="s">
        <v>42</v>
      </c>
      <c r="L41" s="162"/>
      <c r="M41" s="360"/>
      <c r="N41" s="314"/>
      <c r="O41" s="277"/>
      <c r="P41" s="164" t="s">
        <v>137</v>
      </c>
      <c r="Q41" s="41"/>
      <c r="R41" s="193"/>
      <c r="S41" s="257"/>
    </row>
    <row r="42" spans="1:19" s="10" customFormat="1" ht="13.5" customHeight="1">
      <c r="A42" s="384"/>
      <c r="B42" s="285"/>
      <c r="C42" s="104"/>
      <c r="D42" s="16"/>
      <c r="E42" s="17"/>
      <c r="F42" s="31"/>
      <c r="G42" s="299"/>
      <c r="H42" s="260" t="s">
        <v>106</v>
      </c>
      <c r="I42" s="281">
        <v>881218</v>
      </c>
      <c r="J42" s="83" t="s">
        <v>195</v>
      </c>
      <c r="K42" s="84" t="s">
        <v>196</v>
      </c>
      <c r="L42" s="31" t="s">
        <v>197</v>
      </c>
      <c r="M42" s="371" t="s">
        <v>304</v>
      </c>
      <c r="N42" s="274"/>
      <c r="O42" s="277"/>
      <c r="P42" s="93"/>
      <c r="Q42" s="84"/>
      <c r="R42" s="176"/>
      <c r="S42" s="304"/>
    </row>
    <row r="43" spans="1:19" s="10" customFormat="1" ht="13.5" customHeight="1" thickBot="1">
      <c r="A43" s="384"/>
      <c r="B43" s="286"/>
      <c r="C43" s="121"/>
      <c r="D43" s="105"/>
      <c r="E43" s="106"/>
      <c r="F43" s="167"/>
      <c r="G43" s="325"/>
      <c r="H43" s="280"/>
      <c r="I43" s="282"/>
      <c r="J43" s="115" t="s">
        <v>198</v>
      </c>
      <c r="K43" s="105"/>
      <c r="L43" s="167" t="s">
        <v>199</v>
      </c>
      <c r="M43" s="452"/>
      <c r="N43" s="275"/>
      <c r="O43" s="282"/>
      <c r="P43" s="147"/>
      <c r="Q43" s="148"/>
      <c r="R43" s="186"/>
      <c r="S43" s="377"/>
    </row>
    <row r="44" spans="1:19" s="10" customFormat="1" ht="13.5" customHeight="1">
      <c r="A44" s="305">
        <v>3</v>
      </c>
      <c r="B44" s="393" t="s">
        <v>105</v>
      </c>
      <c r="C44" s="389" t="s">
        <v>215</v>
      </c>
      <c r="D44" s="122" t="s">
        <v>216</v>
      </c>
      <c r="E44" s="123" t="s">
        <v>217</v>
      </c>
      <c r="F44" s="168"/>
      <c r="G44" s="315"/>
      <c r="H44" s="287" t="s">
        <v>106</v>
      </c>
      <c r="I44" s="281">
        <v>881247</v>
      </c>
      <c r="J44" s="16" t="s">
        <v>101</v>
      </c>
      <c r="K44" s="17" t="s">
        <v>10</v>
      </c>
      <c r="L44" s="31" t="s">
        <v>200</v>
      </c>
      <c r="M44" s="322" t="s">
        <v>304</v>
      </c>
      <c r="N44" s="373" t="s">
        <v>106</v>
      </c>
      <c r="O44" s="375">
        <v>881105</v>
      </c>
      <c r="P44" s="90" t="s">
        <v>295</v>
      </c>
      <c r="Q44" s="91" t="s">
        <v>140</v>
      </c>
      <c r="R44" s="192"/>
      <c r="S44" s="322" t="s">
        <v>304</v>
      </c>
    </row>
    <row r="45" spans="1:19" s="7" customFormat="1" ht="13.5" customHeight="1">
      <c r="A45" s="384"/>
      <c r="B45" s="394"/>
      <c r="C45" s="390"/>
      <c r="D45" s="124" t="s">
        <v>99</v>
      </c>
      <c r="E45" s="125" t="s">
        <v>100</v>
      </c>
      <c r="F45" s="169"/>
      <c r="G45" s="298"/>
      <c r="H45" s="287"/>
      <c r="I45" s="267"/>
      <c r="J45" s="8" t="s">
        <v>201</v>
      </c>
      <c r="K45" s="9" t="s">
        <v>15</v>
      </c>
      <c r="L45" s="120" t="s">
        <v>202</v>
      </c>
      <c r="M45" s="321"/>
      <c r="N45" s="374"/>
      <c r="O45" s="376"/>
      <c r="P45" s="165" t="s">
        <v>141</v>
      </c>
      <c r="Q45" s="92"/>
      <c r="R45" s="195"/>
      <c r="S45" s="321"/>
    </row>
    <row r="46" spans="1:19" s="10" customFormat="1" ht="13.5" customHeight="1">
      <c r="A46" s="384"/>
      <c r="B46" s="285"/>
      <c r="C46" s="104"/>
      <c r="D46" s="16"/>
      <c r="E46" s="17"/>
      <c r="F46" s="31"/>
      <c r="G46" s="299"/>
      <c r="H46" s="323"/>
      <c r="I46" s="52"/>
      <c r="J46" s="83"/>
      <c r="K46" s="84"/>
      <c r="L46" s="31"/>
      <c r="M46" s="278"/>
      <c r="N46" s="285"/>
      <c r="O46" s="258"/>
      <c r="P46" s="93"/>
      <c r="Q46" s="84"/>
      <c r="R46" s="194"/>
      <c r="S46" s="278"/>
    </row>
    <row r="47" spans="1:19" s="10" customFormat="1" ht="13.5" customHeight="1" thickBot="1">
      <c r="A47" s="385"/>
      <c r="B47" s="286"/>
      <c r="C47" s="121"/>
      <c r="D47" s="105"/>
      <c r="E47" s="106"/>
      <c r="F47" s="167"/>
      <c r="G47" s="315"/>
      <c r="H47" s="324"/>
      <c r="I47" s="116"/>
      <c r="J47" s="115"/>
      <c r="K47" s="105"/>
      <c r="L47" s="167"/>
      <c r="M47" s="279"/>
      <c r="N47" s="286"/>
      <c r="O47" s="259"/>
      <c r="P47" s="147"/>
      <c r="Q47" s="148"/>
      <c r="R47" s="186"/>
      <c r="S47" s="299"/>
    </row>
    <row r="48" spans="1:19" s="10" customFormat="1" ht="13.5" customHeight="1">
      <c r="A48" s="305">
        <v>4</v>
      </c>
      <c r="B48" s="266" t="s">
        <v>105</v>
      </c>
      <c r="C48" s="382">
        <v>881207</v>
      </c>
      <c r="D48" s="126" t="s">
        <v>218</v>
      </c>
      <c r="E48" s="127" t="s">
        <v>102</v>
      </c>
      <c r="F48" s="170" t="s">
        <v>219</v>
      </c>
      <c r="G48" s="322" t="s">
        <v>304</v>
      </c>
      <c r="H48" s="261" t="s">
        <v>106</v>
      </c>
      <c r="I48" s="255">
        <v>881228</v>
      </c>
      <c r="J48" s="8" t="s">
        <v>108</v>
      </c>
      <c r="K48" s="82" t="s">
        <v>109</v>
      </c>
      <c r="L48" s="32" t="s">
        <v>203</v>
      </c>
      <c r="M48" s="322" t="s">
        <v>304</v>
      </c>
      <c r="N48" s="260" t="s">
        <v>106</v>
      </c>
      <c r="O48" s="281">
        <v>881281</v>
      </c>
      <c r="P48" s="33" t="s">
        <v>296</v>
      </c>
      <c r="Q48" s="17" t="s">
        <v>297</v>
      </c>
      <c r="R48" s="253"/>
      <c r="S48" s="322" t="s">
        <v>304</v>
      </c>
    </row>
    <row r="49" spans="1:19" s="10" customFormat="1" ht="13.5" customHeight="1">
      <c r="A49" s="386"/>
      <c r="B49" s="309"/>
      <c r="C49" s="383"/>
      <c r="D49" s="128" t="s">
        <v>220</v>
      </c>
      <c r="E49" s="129" t="s">
        <v>221</v>
      </c>
      <c r="F49" s="171" t="s">
        <v>222</v>
      </c>
      <c r="G49" s="321"/>
      <c r="H49" s="320"/>
      <c r="I49" s="267"/>
      <c r="J49" s="8" t="s">
        <v>110</v>
      </c>
      <c r="K49" s="82" t="s">
        <v>111</v>
      </c>
      <c r="L49" s="120" t="s">
        <v>112</v>
      </c>
      <c r="M49" s="321"/>
      <c r="N49" s="287"/>
      <c r="O49" s="267"/>
      <c r="P49" s="11" t="s">
        <v>298</v>
      </c>
      <c r="Q49" s="9" t="s">
        <v>299</v>
      </c>
      <c r="R49" s="254"/>
      <c r="S49" s="321"/>
    </row>
    <row r="50" spans="1:19" s="10" customFormat="1" ht="13.5" customHeight="1">
      <c r="A50" s="386"/>
      <c r="B50" s="266" t="s">
        <v>105</v>
      </c>
      <c r="C50" s="391">
        <v>881205</v>
      </c>
      <c r="D50" s="130" t="s">
        <v>223</v>
      </c>
      <c r="E50" s="131" t="s">
        <v>224</v>
      </c>
      <c r="F50" s="172"/>
      <c r="G50" s="321" t="s">
        <v>304</v>
      </c>
      <c r="H50" s="320" t="s">
        <v>106</v>
      </c>
      <c r="I50" s="281">
        <v>881251</v>
      </c>
      <c r="J50" s="83" t="s">
        <v>204</v>
      </c>
      <c r="K50" s="84" t="s">
        <v>205</v>
      </c>
      <c r="L50" s="176" t="s">
        <v>200</v>
      </c>
      <c r="M50" s="321" t="s">
        <v>304</v>
      </c>
      <c r="N50" s="318"/>
      <c r="O50" s="277"/>
      <c r="P50" s="93"/>
      <c r="Q50" s="84"/>
      <c r="R50" s="176"/>
      <c r="S50" s="278"/>
    </row>
    <row r="51" spans="1:19" ht="22.5">
      <c r="A51" s="386"/>
      <c r="B51" s="309"/>
      <c r="C51" s="383"/>
      <c r="D51" s="119" t="s">
        <v>225</v>
      </c>
      <c r="E51" s="119" t="s">
        <v>103</v>
      </c>
      <c r="F51" s="171"/>
      <c r="G51" s="321"/>
      <c r="H51" s="260"/>
      <c r="I51" s="267"/>
      <c r="J51" s="85" t="s">
        <v>206</v>
      </c>
      <c r="K51" s="8" t="s">
        <v>207</v>
      </c>
      <c r="L51" s="120" t="s">
        <v>208</v>
      </c>
      <c r="M51" s="321"/>
      <c r="N51" s="319"/>
      <c r="O51" s="256"/>
      <c r="P51" s="99"/>
      <c r="Q51" s="80"/>
      <c r="R51" s="184"/>
      <c r="S51" s="278"/>
    </row>
    <row r="52" spans="1:19" ht="13.5" customHeight="1">
      <c r="A52" s="386"/>
      <c r="B52" s="285"/>
      <c r="C52" s="104"/>
      <c r="D52" s="16"/>
      <c r="E52" s="17"/>
      <c r="F52" s="31"/>
      <c r="G52" s="278"/>
      <c r="H52" s="323"/>
      <c r="I52" s="52"/>
      <c r="J52" s="83"/>
      <c r="K52" s="84"/>
      <c r="L52" s="31"/>
      <c r="M52" s="278"/>
      <c r="N52" s="285"/>
      <c r="O52" s="258"/>
      <c r="P52" s="93"/>
      <c r="Q52" s="84"/>
      <c r="R52" s="194"/>
      <c r="S52" s="278"/>
    </row>
    <row r="53" spans="1:19" s="21" customFormat="1" ht="13.5" customHeight="1" thickBot="1">
      <c r="A53" s="386"/>
      <c r="B53" s="286"/>
      <c r="C53" s="121"/>
      <c r="D53" s="105"/>
      <c r="E53" s="106"/>
      <c r="F53" s="167"/>
      <c r="G53" s="299"/>
      <c r="H53" s="285"/>
      <c r="I53" s="177"/>
      <c r="J53" s="85"/>
      <c r="K53" s="8"/>
      <c r="L53" s="32"/>
      <c r="M53" s="279"/>
      <c r="N53" s="286"/>
      <c r="O53" s="259"/>
      <c r="P53" s="147"/>
      <c r="Q53" s="148"/>
      <c r="R53" s="186"/>
      <c r="S53" s="299"/>
    </row>
    <row r="54" spans="1:19" s="21" customFormat="1" ht="13.5" customHeight="1">
      <c r="A54" s="387">
        <v>5</v>
      </c>
      <c r="B54" s="291"/>
      <c r="C54" s="392"/>
      <c r="D54" s="86"/>
      <c r="E54" s="24"/>
      <c r="F54" s="65"/>
      <c r="G54" s="388"/>
      <c r="H54" s="334"/>
      <c r="I54" s="293"/>
      <c r="J54" s="339"/>
      <c r="K54" s="341"/>
      <c r="L54" s="343"/>
      <c r="M54" s="283"/>
      <c r="N54" s="287" t="s">
        <v>106</v>
      </c>
      <c r="O54" s="255">
        <v>881226</v>
      </c>
      <c r="P54" s="8" t="s">
        <v>300</v>
      </c>
      <c r="Q54" s="9" t="s">
        <v>301</v>
      </c>
      <c r="R54" s="31" t="s">
        <v>302</v>
      </c>
      <c r="S54" s="322" t="s">
        <v>304</v>
      </c>
    </row>
    <row r="55" spans="1:19" s="21" customFormat="1" ht="13.5" customHeight="1">
      <c r="A55" s="384"/>
      <c r="B55" s="333"/>
      <c r="C55" s="263"/>
      <c r="D55" s="87"/>
      <c r="E55" s="14"/>
      <c r="F55" s="61"/>
      <c r="G55" s="360"/>
      <c r="H55" s="331"/>
      <c r="I55" s="355"/>
      <c r="J55" s="340"/>
      <c r="K55" s="342"/>
      <c r="L55" s="344"/>
      <c r="M55" s="284"/>
      <c r="N55" s="261"/>
      <c r="O55" s="256"/>
      <c r="P55" s="13" t="s">
        <v>142</v>
      </c>
      <c r="Q55" s="14" t="s">
        <v>9</v>
      </c>
      <c r="R55" s="61" t="s">
        <v>303</v>
      </c>
      <c r="S55" s="321"/>
    </row>
    <row r="56" spans="1:19" s="28" customFormat="1" ht="13.5" customHeight="1">
      <c r="A56" s="384"/>
      <c r="B56" s="285"/>
      <c r="C56" s="104"/>
      <c r="D56" s="16"/>
      <c r="E56" s="17"/>
      <c r="F56" s="31"/>
      <c r="G56" s="360"/>
      <c r="H56" s="331"/>
      <c r="I56" s="349"/>
      <c r="J56" s="347"/>
      <c r="K56" s="345"/>
      <c r="L56" s="30"/>
      <c r="M56" s="284"/>
      <c r="N56" s="401"/>
      <c r="O56" s="263"/>
      <c r="P56" s="81"/>
      <c r="Q56" s="100"/>
      <c r="R56" s="187"/>
      <c r="S56" s="278"/>
    </row>
    <row r="57" spans="1:19" s="21" customFormat="1" ht="13.5" customHeight="1" thickBot="1">
      <c r="A57" s="385"/>
      <c r="B57" s="286"/>
      <c r="C57" s="121"/>
      <c r="D57" s="105"/>
      <c r="E57" s="106"/>
      <c r="F57" s="167"/>
      <c r="G57" s="361"/>
      <c r="H57" s="332"/>
      <c r="I57" s="350"/>
      <c r="J57" s="348"/>
      <c r="K57" s="346"/>
      <c r="L57" s="178"/>
      <c r="M57" s="359"/>
      <c r="N57" s="402"/>
      <c r="O57" s="403"/>
      <c r="P57" s="94"/>
      <c r="Q57" s="94"/>
      <c r="R57" s="188"/>
      <c r="S57" s="279"/>
    </row>
    <row r="58" spans="1:19" s="28" customFormat="1" ht="13.5" customHeight="1">
      <c r="A58" s="42"/>
      <c r="B58" s="43"/>
      <c r="C58" s="44"/>
      <c r="D58" s="1"/>
      <c r="E58" s="18"/>
      <c r="F58" s="19"/>
      <c r="G58" s="19"/>
      <c r="H58" s="43"/>
      <c r="I58" s="44"/>
      <c r="J58" s="1"/>
      <c r="K58" s="18"/>
      <c r="L58" s="19"/>
      <c r="M58" s="19"/>
      <c r="N58" s="43"/>
      <c r="O58" s="45"/>
      <c r="P58" s="39"/>
      <c r="Q58" s="40"/>
      <c r="R58" s="40"/>
      <c r="S58" s="2"/>
    </row>
    <row r="59" spans="1:19" s="21" customFormat="1" ht="13.5" customHeight="1" thickBot="1">
      <c r="A59" s="2"/>
      <c r="B59" s="20"/>
      <c r="E59" s="22"/>
      <c r="F59" s="22"/>
      <c r="G59" s="22"/>
      <c r="H59" s="20"/>
      <c r="K59" s="22"/>
      <c r="L59" s="22"/>
      <c r="M59" s="22"/>
      <c r="N59" s="20"/>
      <c r="O59" s="2"/>
      <c r="P59" s="2"/>
      <c r="Q59" s="23"/>
      <c r="R59" s="23"/>
    </row>
    <row r="60" spans="1:19" s="28" customFormat="1" ht="30.75" customHeight="1" thickBot="1">
      <c r="A60" s="3" t="s">
        <v>31</v>
      </c>
      <c r="B60" s="335" t="s">
        <v>49</v>
      </c>
      <c r="C60" s="336"/>
      <c r="D60" s="336"/>
      <c r="E60" s="336"/>
      <c r="F60" s="336"/>
      <c r="G60" s="337"/>
      <c r="H60" s="335" t="s">
        <v>32</v>
      </c>
      <c r="I60" s="336"/>
      <c r="J60" s="336"/>
      <c r="K60" s="336"/>
      <c r="L60" s="336"/>
      <c r="M60" s="338"/>
      <c r="N60" s="20"/>
      <c r="O60" s="46"/>
      <c r="P60" s="46"/>
      <c r="Q60" s="47"/>
      <c r="R60" s="22"/>
      <c r="S60" s="21"/>
    </row>
    <row r="61" spans="1:19" s="21" customFormat="1" ht="30.75" customHeight="1" thickBot="1">
      <c r="A61" s="53" t="s">
        <v>50</v>
      </c>
      <c r="B61" s="54" t="s">
        <v>51</v>
      </c>
      <c r="C61" s="55" t="s">
        <v>24</v>
      </c>
      <c r="D61" s="56" t="s">
        <v>52</v>
      </c>
      <c r="E61" s="57" t="s">
        <v>53</v>
      </c>
      <c r="F61" s="63" t="s">
        <v>27</v>
      </c>
      <c r="G61" s="175" t="s">
        <v>57</v>
      </c>
      <c r="H61" s="54" t="s">
        <v>36</v>
      </c>
      <c r="I61" s="55" t="s">
        <v>24</v>
      </c>
      <c r="J61" s="56" t="s">
        <v>54</v>
      </c>
      <c r="K61" s="57" t="s">
        <v>26</v>
      </c>
      <c r="L61" s="63" t="s">
        <v>40</v>
      </c>
      <c r="M61" s="175" t="s">
        <v>57</v>
      </c>
      <c r="N61" s="20"/>
      <c r="O61" s="46"/>
      <c r="P61" s="46"/>
      <c r="Q61" s="47"/>
      <c r="R61" s="22"/>
    </row>
    <row r="62" spans="1:19" s="28" customFormat="1" ht="13.5" customHeight="1">
      <c r="A62" s="387">
        <v>1</v>
      </c>
      <c r="B62" s="295" t="s">
        <v>106</v>
      </c>
      <c r="C62" s="328"/>
      <c r="D62" s="6" t="s">
        <v>113</v>
      </c>
      <c r="E62" s="31" t="s">
        <v>22</v>
      </c>
      <c r="F62" s="31"/>
      <c r="G62" s="362" t="str">
        <f>IF(M10="YES","YES","")</f>
        <v/>
      </c>
      <c r="H62" s="266" t="s">
        <v>150</v>
      </c>
      <c r="I62" s="310">
        <v>881269</v>
      </c>
      <c r="J62" s="77" t="s">
        <v>143</v>
      </c>
      <c r="K62" s="75" t="s">
        <v>86</v>
      </c>
      <c r="L62" s="75" t="s">
        <v>161</v>
      </c>
      <c r="M62" s="278"/>
      <c r="N62" s="25"/>
      <c r="O62" s="48"/>
      <c r="P62" s="48"/>
      <c r="Q62" s="49"/>
      <c r="R62" s="22"/>
    </row>
    <row r="63" spans="1:19" s="21" customFormat="1" ht="13.5" customHeight="1">
      <c r="A63" s="384"/>
      <c r="B63" s="261"/>
      <c r="C63" s="329"/>
      <c r="D63" s="13" t="s">
        <v>114</v>
      </c>
      <c r="E63" s="32" t="s">
        <v>55</v>
      </c>
      <c r="F63" s="61"/>
      <c r="G63" s="354"/>
      <c r="H63" s="309"/>
      <c r="I63" s="351"/>
      <c r="J63" s="78" t="s">
        <v>253</v>
      </c>
      <c r="K63" s="76" t="s">
        <v>254</v>
      </c>
      <c r="L63" s="174" t="s">
        <v>163</v>
      </c>
      <c r="M63" s="278"/>
      <c r="N63" s="26"/>
      <c r="O63" s="50"/>
      <c r="P63" s="50"/>
      <c r="Q63" s="51"/>
      <c r="R63" s="27"/>
    </row>
    <row r="64" spans="1:19" s="28" customFormat="1" ht="13.5" customHeight="1">
      <c r="A64" s="384"/>
      <c r="B64" s="260" t="s">
        <v>106</v>
      </c>
      <c r="C64" s="330"/>
      <c r="D64" s="29" t="s">
        <v>115</v>
      </c>
      <c r="E64" s="31" t="s">
        <v>20</v>
      </c>
      <c r="F64" s="31"/>
      <c r="G64" s="354" t="str">
        <f t="shared" ref="G64" si="8">IF(M12="YES","YES","")</f>
        <v/>
      </c>
      <c r="H64" s="285"/>
      <c r="I64" s="277"/>
      <c r="J64" s="29"/>
      <c r="K64" s="17"/>
      <c r="L64" s="31"/>
      <c r="M64" s="278"/>
      <c r="N64" s="25"/>
      <c r="O64" s="48"/>
      <c r="P64" s="48"/>
      <c r="Q64" s="49"/>
      <c r="R64" s="22"/>
    </row>
    <row r="65" spans="1:19" s="21" customFormat="1" ht="13.5" customHeight="1">
      <c r="A65" s="384"/>
      <c r="B65" s="261"/>
      <c r="C65" s="329"/>
      <c r="D65" s="13" t="s">
        <v>116</v>
      </c>
      <c r="E65" s="32" t="s">
        <v>43</v>
      </c>
      <c r="F65" s="61"/>
      <c r="G65" s="354"/>
      <c r="H65" s="333"/>
      <c r="I65" s="256"/>
      <c r="J65" s="13"/>
      <c r="K65" s="9"/>
      <c r="L65" s="61"/>
      <c r="M65" s="278"/>
      <c r="N65" s="26"/>
      <c r="O65" s="50"/>
      <c r="P65" s="50"/>
      <c r="Q65" s="51"/>
      <c r="R65" s="27"/>
    </row>
    <row r="66" spans="1:19" s="28" customFormat="1" ht="13.5" customHeight="1">
      <c r="A66" s="384"/>
      <c r="B66" s="300" t="s">
        <v>106</v>
      </c>
      <c r="C66" s="363" t="s">
        <v>226</v>
      </c>
      <c r="D66" s="111" t="s">
        <v>117</v>
      </c>
      <c r="E66" s="112" t="s">
        <v>167</v>
      </c>
      <c r="F66" s="160"/>
      <c r="G66" s="354" t="str">
        <f t="shared" ref="G66" si="9">IF(M14="YES","YES","")</f>
        <v/>
      </c>
      <c r="H66" s="285"/>
      <c r="I66" s="277"/>
      <c r="J66" s="16"/>
      <c r="K66" s="17"/>
      <c r="L66" s="31"/>
      <c r="M66" s="278"/>
      <c r="N66" s="25"/>
      <c r="O66" s="48"/>
      <c r="P66" s="48"/>
      <c r="Q66" s="49"/>
      <c r="R66" s="22"/>
    </row>
    <row r="67" spans="1:19" s="21" customFormat="1" ht="13.5" customHeight="1">
      <c r="A67" s="384"/>
      <c r="B67" s="301"/>
      <c r="C67" s="364"/>
      <c r="D67" s="132" t="s">
        <v>118</v>
      </c>
      <c r="E67" s="114" t="s">
        <v>227</v>
      </c>
      <c r="F67" s="189"/>
      <c r="G67" s="354"/>
      <c r="H67" s="333"/>
      <c r="I67" s="256"/>
      <c r="J67" s="13"/>
      <c r="K67" s="14"/>
      <c r="L67" s="61"/>
      <c r="M67" s="278"/>
      <c r="N67" s="26"/>
      <c r="O67" s="50"/>
      <c r="P67" s="50"/>
      <c r="Q67" s="51"/>
      <c r="R67" s="27"/>
    </row>
    <row r="68" spans="1:19" s="28" customFormat="1" ht="13.5" customHeight="1">
      <c r="A68" s="384"/>
      <c r="B68" s="260" t="s">
        <v>106</v>
      </c>
      <c r="C68" s="330"/>
      <c r="D68" s="29" t="s">
        <v>132</v>
      </c>
      <c r="E68" s="17" t="s">
        <v>124</v>
      </c>
      <c r="F68" s="190"/>
      <c r="G68" s="354" t="str">
        <f t="shared" ref="G68" si="10">IF(M16="YES","YES","")</f>
        <v/>
      </c>
      <c r="H68" s="285"/>
      <c r="I68" s="277"/>
      <c r="J68" s="16"/>
      <c r="K68" s="17"/>
      <c r="L68" s="31"/>
      <c r="M68" s="278"/>
      <c r="N68" s="25"/>
      <c r="O68" s="48"/>
      <c r="P68" s="48"/>
      <c r="Q68" s="49"/>
      <c r="R68" s="22"/>
    </row>
    <row r="69" spans="1:19" s="28" customFormat="1" ht="13.5" customHeight="1">
      <c r="A69" s="384"/>
      <c r="B69" s="261"/>
      <c r="C69" s="329"/>
      <c r="D69" s="13" t="s">
        <v>133</v>
      </c>
      <c r="E69" s="14" t="s">
        <v>14</v>
      </c>
      <c r="F69" s="191"/>
      <c r="G69" s="354"/>
      <c r="H69" s="333"/>
      <c r="I69" s="256"/>
      <c r="J69" s="13"/>
      <c r="K69" s="14"/>
      <c r="L69" s="61"/>
      <c r="M69" s="278"/>
      <c r="N69" s="26"/>
      <c r="O69" s="50"/>
      <c r="P69" s="50"/>
      <c r="Q69" s="51"/>
      <c r="R69" s="27"/>
      <c r="S69" s="21"/>
    </row>
    <row r="70" spans="1:19" s="28" customFormat="1" ht="13.5" customHeight="1">
      <c r="A70" s="384"/>
      <c r="B70" s="266" t="s">
        <v>105</v>
      </c>
      <c r="C70" s="352"/>
      <c r="D70" s="77" t="s">
        <v>143</v>
      </c>
      <c r="E70" s="95" t="s">
        <v>124</v>
      </c>
      <c r="F70" s="75" t="s">
        <v>161</v>
      </c>
      <c r="G70" s="354" t="str">
        <f t="shared" ref="G70" si="11">IF(M18="YES","YES","")</f>
        <v/>
      </c>
      <c r="H70" s="285"/>
      <c r="I70" s="277"/>
      <c r="J70" s="16"/>
      <c r="K70" s="17"/>
      <c r="L70" s="31"/>
      <c r="M70" s="278"/>
      <c r="N70" s="25"/>
      <c r="O70" s="48"/>
      <c r="P70" s="48"/>
      <c r="Q70" s="49"/>
      <c r="R70" s="22"/>
    </row>
    <row r="71" spans="1:19" s="28" customFormat="1" ht="13.5" customHeight="1">
      <c r="A71" s="384"/>
      <c r="B71" s="309"/>
      <c r="C71" s="353"/>
      <c r="D71" s="78" t="s">
        <v>144</v>
      </c>
      <c r="E71" s="76" t="s">
        <v>14</v>
      </c>
      <c r="F71" s="174" t="s">
        <v>163</v>
      </c>
      <c r="G71" s="354"/>
      <c r="H71" s="333"/>
      <c r="I71" s="256"/>
      <c r="J71" s="13"/>
      <c r="K71" s="14"/>
      <c r="L71" s="61"/>
      <c r="M71" s="278"/>
      <c r="N71" s="26"/>
      <c r="O71" s="50"/>
      <c r="P71" s="50"/>
      <c r="Q71" s="51"/>
      <c r="R71" s="27"/>
      <c r="S71" s="21"/>
    </row>
    <row r="72" spans="1:19" s="28" customFormat="1" ht="13.5" customHeight="1">
      <c r="A72" s="384"/>
      <c r="B72" s="320" t="s">
        <v>106</v>
      </c>
      <c r="C72" s="330"/>
      <c r="D72" s="29" t="s">
        <v>119</v>
      </c>
      <c r="E72" s="17" t="s">
        <v>178</v>
      </c>
      <c r="F72" s="31" t="s">
        <v>228</v>
      </c>
      <c r="G72" s="354" t="str">
        <f t="shared" ref="G72" si="12">IF(M20="YES","YES","")</f>
        <v/>
      </c>
      <c r="H72" s="285"/>
      <c r="I72" s="277"/>
      <c r="J72" s="16"/>
      <c r="K72" s="31"/>
      <c r="L72" s="31"/>
      <c r="M72" s="278"/>
      <c r="N72" s="25"/>
      <c r="O72" s="48"/>
      <c r="P72" s="48"/>
      <c r="Q72" s="49"/>
      <c r="R72" s="22"/>
    </row>
    <row r="73" spans="1:19" s="28" customFormat="1" ht="13.5" customHeight="1">
      <c r="A73" s="384"/>
      <c r="B73" s="320"/>
      <c r="C73" s="329"/>
      <c r="D73" s="13" t="s">
        <v>120</v>
      </c>
      <c r="E73" s="14" t="s">
        <v>30</v>
      </c>
      <c r="F73" s="61" t="s">
        <v>229</v>
      </c>
      <c r="G73" s="354"/>
      <c r="H73" s="333"/>
      <c r="I73" s="256"/>
      <c r="J73" s="13"/>
      <c r="K73" s="32"/>
      <c r="L73" s="61"/>
      <c r="M73" s="278"/>
      <c r="N73" s="26"/>
      <c r="O73" s="50"/>
      <c r="P73" s="50"/>
      <c r="Q73" s="51"/>
      <c r="R73" s="27"/>
      <c r="S73" s="21"/>
    </row>
    <row r="74" spans="1:19" s="28" customFormat="1" ht="13.5" customHeight="1">
      <c r="A74" s="384"/>
      <c r="B74" s="320" t="s">
        <v>106</v>
      </c>
      <c r="C74" s="330"/>
      <c r="D74" s="29" t="s">
        <v>121</v>
      </c>
      <c r="E74" s="59" t="s">
        <v>230</v>
      </c>
      <c r="F74" s="31"/>
      <c r="G74" s="354" t="str">
        <f t="shared" ref="G74" si="13">IF(M22="YES","YES","")</f>
        <v/>
      </c>
      <c r="H74" s="285"/>
      <c r="I74" s="277"/>
      <c r="J74" s="16"/>
      <c r="K74" s="17"/>
      <c r="L74" s="31"/>
      <c r="M74" s="278"/>
      <c r="N74" s="25"/>
      <c r="O74" s="48"/>
      <c r="P74" s="48"/>
      <c r="Q74" s="49"/>
      <c r="R74" s="22"/>
    </row>
    <row r="75" spans="1:19" s="21" customFormat="1" ht="13.5" customHeight="1">
      <c r="A75" s="384"/>
      <c r="B75" s="320"/>
      <c r="C75" s="329"/>
      <c r="D75" s="13" t="s">
        <v>122</v>
      </c>
      <c r="E75" s="60" t="s">
        <v>45</v>
      </c>
      <c r="F75" s="61"/>
      <c r="G75" s="354"/>
      <c r="H75" s="333"/>
      <c r="I75" s="256"/>
      <c r="J75" s="13"/>
      <c r="K75" s="14"/>
      <c r="L75" s="61"/>
      <c r="M75" s="278"/>
      <c r="N75" s="26"/>
      <c r="O75" s="50"/>
      <c r="P75" s="50"/>
      <c r="Q75" s="51"/>
      <c r="R75" s="27"/>
      <c r="S75" s="28"/>
    </row>
    <row r="76" spans="1:19" s="28" customFormat="1" ht="13.5" customHeight="1">
      <c r="A76" s="384"/>
      <c r="B76" s="320" t="s">
        <v>106</v>
      </c>
      <c r="C76" s="330"/>
      <c r="D76" s="16" t="s">
        <v>123</v>
      </c>
      <c r="E76" s="17" t="s">
        <v>231</v>
      </c>
      <c r="F76" s="31"/>
      <c r="G76" s="354" t="str">
        <f t="shared" ref="G76" si="14">IF(M24="YES","YES","")</f>
        <v/>
      </c>
      <c r="H76" s="285"/>
      <c r="I76" s="277"/>
      <c r="J76" s="16"/>
      <c r="K76" s="17"/>
      <c r="L76" s="196"/>
      <c r="M76" s="278"/>
      <c r="N76" s="26"/>
      <c r="O76" s="50"/>
      <c r="P76" s="50"/>
      <c r="Q76" s="51"/>
      <c r="R76" s="27"/>
    </row>
    <row r="77" spans="1:19" s="21" customFormat="1" ht="13.5" customHeight="1">
      <c r="A77" s="384"/>
      <c r="B77" s="320"/>
      <c r="C77" s="329"/>
      <c r="D77" s="13" t="s">
        <v>125</v>
      </c>
      <c r="E77" s="14" t="s">
        <v>232</v>
      </c>
      <c r="F77" s="61"/>
      <c r="G77" s="354"/>
      <c r="H77" s="333"/>
      <c r="I77" s="256"/>
      <c r="J77" s="13"/>
      <c r="K77" s="9"/>
      <c r="L77" s="197"/>
      <c r="M77" s="278"/>
      <c r="N77" s="26"/>
      <c r="O77" s="50"/>
      <c r="P77" s="50"/>
      <c r="Q77" s="51"/>
      <c r="R77" s="27"/>
      <c r="S77" s="28"/>
    </row>
    <row r="78" spans="1:19" s="28" customFormat="1" ht="13.5" customHeight="1">
      <c r="A78" s="384"/>
      <c r="B78" s="320" t="s">
        <v>106</v>
      </c>
      <c r="C78" s="330"/>
      <c r="D78" s="16" t="s">
        <v>126</v>
      </c>
      <c r="E78" s="17" t="s">
        <v>233</v>
      </c>
      <c r="F78" s="31" t="s">
        <v>234</v>
      </c>
      <c r="G78" s="354" t="str">
        <f t="shared" ref="G78" si="15">IF(M26="YES","YES","")</f>
        <v/>
      </c>
      <c r="H78" s="285"/>
      <c r="I78" s="277"/>
      <c r="J78" s="16"/>
      <c r="K78" s="17"/>
      <c r="L78" s="196"/>
      <c r="M78" s="278"/>
      <c r="N78" s="26"/>
      <c r="O78" s="50"/>
      <c r="P78" s="50"/>
      <c r="Q78" s="51"/>
      <c r="R78" s="27"/>
    </row>
    <row r="79" spans="1:19" s="21" customFormat="1" ht="13.5" customHeight="1" thickBot="1">
      <c r="A79" s="384"/>
      <c r="B79" s="320"/>
      <c r="C79" s="329"/>
      <c r="D79" s="13" t="s">
        <v>127</v>
      </c>
      <c r="E79" s="61" t="s">
        <v>28</v>
      </c>
      <c r="F79" s="61" t="s">
        <v>235</v>
      </c>
      <c r="G79" s="354"/>
      <c r="H79" s="333"/>
      <c r="I79" s="256"/>
      <c r="J79" s="13"/>
      <c r="K79" s="14"/>
      <c r="L79" s="197"/>
      <c r="M79" s="278"/>
      <c r="N79" s="26"/>
      <c r="O79" s="50"/>
      <c r="P79" s="50"/>
      <c r="Q79" s="51"/>
      <c r="R79" s="27"/>
      <c r="S79" s="28"/>
    </row>
    <row r="80" spans="1:19" s="28" customFormat="1" ht="11.25" customHeight="1">
      <c r="A80" s="384"/>
      <c r="B80" s="320" t="s">
        <v>106</v>
      </c>
      <c r="C80" s="330"/>
      <c r="D80" s="16" t="s">
        <v>128</v>
      </c>
      <c r="E80" s="59" t="s">
        <v>16</v>
      </c>
      <c r="F80" s="31"/>
      <c r="G80" s="354" t="str">
        <f t="shared" ref="G80" si="16">IF(M28="YES","YES","")</f>
        <v/>
      </c>
      <c r="H80" s="204"/>
      <c r="I80" s="74"/>
      <c r="J80" s="8"/>
      <c r="K80" s="9"/>
      <c r="L80" s="64"/>
      <c r="M80" s="278"/>
      <c r="N80" s="26"/>
      <c r="O80" s="50"/>
      <c r="P80" s="439" t="s">
        <v>62</v>
      </c>
      <c r="Q80" s="434"/>
      <c r="R80" s="27"/>
    </row>
    <row r="81" spans="1:19" s="28" customFormat="1" ht="12" customHeight="1">
      <c r="A81" s="384"/>
      <c r="B81" s="320"/>
      <c r="C81" s="329"/>
      <c r="D81" s="13" t="s">
        <v>129</v>
      </c>
      <c r="E81" s="60" t="s">
        <v>236</v>
      </c>
      <c r="F81" s="61"/>
      <c r="G81" s="354"/>
      <c r="H81" s="204"/>
      <c r="I81" s="74"/>
      <c r="J81" s="8"/>
      <c r="K81" s="9"/>
      <c r="L81" s="64"/>
      <c r="M81" s="278"/>
      <c r="N81" s="26"/>
      <c r="O81" s="50"/>
      <c r="P81" s="440"/>
      <c r="Q81" s="435"/>
      <c r="R81" s="27"/>
      <c r="S81" s="21"/>
    </row>
    <row r="82" spans="1:19" s="28" customFormat="1" ht="12" customHeight="1">
      <c r="A82" s="384"/>
      <c r="B82" s="320" t="s">
        <v>106</v>
      </c>
      <c r="C82" s="330"/>
      <c r="D82" s="16" t="s">
        <v>130</v>
      </c>
      <c r="E82" s="59" t="s">
        <v>16</v>
      </c>
      <c r="F82" s="31"/>
      <c r="G82" s="354" t="str">
        <f t="shared" ref="G82" si="17">IF(M30="YES","YES","")</f>
        <v/>
      </c>
      <c r="H82" s="285"/>
      <c r="I82" s="277"/>
      <c r="J82" s="16"/>
      <c r="K82" s="17"/>
      <c r="L82" s="196"/>
      <c r="M82" s="278"/>
      <c r="N82" s="25"/>
      <c r="O82" s="48"/>
      <c r="P82" s="441" t="s">
        <v>63</v>
      </c>
      <c r="Q82" s="442" t="s">
        <v>64</v>
      </c>
      <c r="R82" s="22"/>
    </row>
    <row r="83" spans="1:19" s="10" customFormat="1" ht="11.25" customHeight="1">
      <c r="A83" s="384"/>
      <c r="B83" s="320"/>
      <c r="C83" s="329"/>
      <c r="D83" s="13" t="s">
        <v>131</v>
      </c>
      <c r="E83" s="60" t="s">
        <v>13</v>
      </c>
      <c r="F83" s="61"/>
      <c r="G83" s="354"/>
      <c r="H83" s="333"/>
      <c r="I83" s="256"/>
      <c r="J83" s="13"/>
      <c r="K83" s="14"/>
      <c r="L83" s="197"/>
      <c r="M83" s="278"/>
      <c r="N83" s="26"/>
      <c r="O83" s="50"/>
      <c r="P83" s="440"/>
      <c r="Q83" s="437"/>
      <c r="R83" s="27"/>
      <c r="S83" s="21"/>
    </row>
    <row r="84" spans="1:19" s="10" customFormat="1" ht="11.25" customHeight="1">
      <c r="A84" s="384"/>
      <c r="B84" s="320" t="s">
        <v>106</v>
      </c>
      <c r="C84" s="281">
        <v>881284</v>
      </c>
      <c r="D84" s="88" t="s">
        <v>237</v>
      </c>
      <c r="E84" s="17" t="s">
        <v>23</v>
      </c>
      <c r="F84" s="31"/>
      <c r="G84" s="422" t="s">
        <v>304</v>
      </c>
      <c r="H84" s="204"/>
      <c r="I84" s="74"/>
      <c r="J84" s="8"/>
      <c r="K84" s="9"/>
      <c r="L84" s="64"/>
      <c r="M84" s="278"/>
      <c r="N84" s="25"/>
      <c r="O84" s="21"/>
      <c r="P84" s="423"/>
      <c r="Q84" s="425"/>
      <c r="R84" s="22"/>
      <c r="S84" s="28"/>
    </row>
    <row r="85" spans="1:19" s="28" customFormat="1" ht="13.5" customHeight="1" thickBot="1">
      <c r="A85" s="384"/>
      <c r="B85" s="320"/>
      <c r="C85" s="256"/>
      <c r="D85" s="87" t="s">
        <v>238</v>
      </c>
      <c r="E85" s="9" t="s">
        <v>56</v>
      </c>
      <c r="F85" s="61"/>
      <c r="G85" s="369"/>
      <c r="H85" s="204"/>
      <c r="I85" s="74"/>
      <c r="J85" s="8"/>
      <c r="K85" s="9"/>
      <c r="L85" s="64"/>
      <c r="M85" s="278"/>
      <c r="N85" s="26"/>
      <c r="P85" s="424"/>
      <c r="Q85" s="426"/>
      <c r="R85" s="27"/>
      <c r="S85" s="21"/>
    </row>
    <row r="86" spans="1:19" s="28" customFormat="1" ht="13.5" customHeight="1">
      <c r="A86" s="384"/>
      <c r="B86" s="320" t="s">
        <v>106</v>
      </c>
      <c r="C86" s="281">
        <v>881275</v>
      </c>
      <c r="D86" s="88" t="s">
        <v>239</v>
      </c>
      <c r="E86" s="84" t="s">
        <v>240</v>
      </c>
      <c r="F86" s="31"/>
      <c r="G86" s="422" t="s">
        <v>304</v>
      </c>
      <c r="H86" s="285"/>
      <c r="I86" s="277"/>
      <c r="J86" s="16"/>
      <c r="K86" s="17"/>
      <c r="L86" s="196"/>
      <c r="M86" s="278"/>
      <c r="N86" s="25"/>
      <c r="O86" s="21"/>
      <c r="P86" s="21"/>
      <c r="Q86" s="22"/>
      <c r="R86" s="22"/>
    </row>
    <row r="87" spans="1:19" s="21" customFormat="1" ht="13.5" customHeight="1" thickBot="1">
      <c r="A87" s="384"/>
      <c r="B87" s="260"/>
      <c r="C87" s="267"/>
      <c r="D87" s="214" t="s">
        <v>145</v>
      </c>
      <c r="E87" s="9" t="s">
        <v>29</v>
      </c>
      <c r="F87" s="32"/>
      <c r="G87" s="369"/>
      <c r="H87" s="333"/>
      <c r="I87" s="256"/>
      <c r="J87" s="13"/>
      <c r="K87" s="9"/>
      <c r="L87" s="197"/>
      <c r="M87" s="278"/>
      <c r="N87" s="26"/>
      <c r="O87" s="28"/>
      <c r="P87" s="28"/>
      <c r="Q87" s="27"/>
      <c r="R87" s="27"/>
      <c r="S87" s="28"/>
    </row>
    <row r="88" spans="1:19" s="28" customFormat="1" ht="13.5" customHeight="1">
      <c r="A88" s="384"/>
      <c r="B88" s="399" t="s">
        <v>106</v>
      </c>
      <c r="C88" s="418"/>
      <c r="D88" s="205" t="s">
        <v>306</v>
      </c>
      <c r="E88" s="206" t="s">
        <v>307</v>
      </c>
      <c r="F88" s="215"/>
      <c r="G88" s="299" t="str">
        <f>IF(S36="YES","YES","")</f>
        <v/>
      </c>
      <c r="H88" s="285"/>
      <c r="I88" s="277"/>
      <c r="J88" s="33"/>
      <c r="K88" s="34"/>
      <c r="L88" s="196"/>
      <c r="M88" s="299"/>
      <c r="N88" s="26"/>
      <c r="P88" s="439" t="s">
        <v>65</v>
      </c>
      <c r="Q88" s="434"/>
      <c r="R88" s="27"/>
    </row>
    <row r="89" spans="1:19" s="21" customFormat="1" ht="12.75" customHeight="1" thickBot="1">
      <c r="A89" s="385"/>
      <c r="B89" s="400"/>
      <c r="C89" s="419"/>
      <c r="D89" s="212" t="s">
        <v>308</v>
      </c>
      <c r="E89" s="213"/>
      <c r="F89" s="217"/>
      <c r="G89" s="315"/>
      <c r="H89" s="292"/>
      <c r="I89" s="267"/>
      <c r="J89" s="11"/>
      <c r="K89" s="12"/>
      <c r="L89" s="32"/>
      <c r="M89" s="315"/>
      <c r="N89" s="26"/>
      <c r="O89" s="28"/>
      <c r="P89" s="440"/>
      <c r="Q89" s="435"/>
      <c r="R89" s="27"/>
      <c r="S89" s="10"/>
    </row>
    <row r="90" spans="1:19" s="28" customFormat="1" ht="12.75" customHeight="1">
      <c r="A90" s="387">
        <v>2</v>
      </c>
      <c r="B90" s="461" t="s">
        <v>106</v>
      </c>
      <c r="C90" s="463"/>
      <c r="D90" s="207" t="s">
        <v>309</v>
      </c>
      <c r="E90" s="208" t="s">
        <v>310</v>
      </c>
      <c r="F90" s="218"/>
      <c r="G90" s="428" t="str">
        <f>IF(S36="YES","YES","")</f>
        <v/>
      </c>
      <c r="H90" s="420" t="s">
        <v>106</v>
      </c>
      <c r="I90" s="382">
        <v>881202</v>
      </c>
      <c r="J90" s="137" t="s">
        <v>151</v>
      </c>
      <c r="K90" s="117" t="s">
        <v>255</v>
      </c>
      <c r="L90" s="198"/>
      <c r="M90" s="322" t="s">
        <v>304</v>
      </c>
      <c r="N90" s="36"/>
      <c r="O90" s="10"/>
      <c r="P90" s="446" t="s">
        <v>66</v>
      </c>
      <c r="Q90" s="436">
        <f>COUNTIF(G38:G55,"YES")+COUNTIF(M10:M13,"YES")+COUNTIF(M18:M53,"YES")+COUNTIF(S32:S55,"YES")+COUNTIF(G92:G107,"YES")+COUNTIF(G84:G87,"YES")+COUNTIF(M90:M107,"YES")</f>
        <v>0</v>
      </c>
      <c r="R90" s="37"/>
      <c r="S90" s="10"/>
    </row>
    <row r="91" spans="1:19" s="28" customFormat="1" ht="12.75" customHeight="1">
      <c r="A91" s="465"/>
      <c r="B91" s="462"/>
      <c r="C91" s="464"/>
      <c r="D91" s="209" t="s">
        <v>311</v>
      </c>
      <c r="E91" s="210"/>
      <c r="F91" s="216"/>
      <c r="G91" s="304"/>
      <c r="H91" s="320"/>
      <c r="I91" s="383"/>
      <c r="J91" s="119" t="s">
        <v>256</v>
      </c>
      <c r="K91" s="119"/>
      <c r="L91" s="199"/>
      <c r="M91" s="257"/>
      <c r="N91" s="36"/>
      <c r="O91" s="10"/>
      <c r="P91" s="440"/>
      <c r="Q91" s="437"/>
      <c r="R91" s="37"/>
    </row>
    <row r="92" spans="1:19" s="28" customFormat="1" ht="12.75" customHeight="1">
      <c r="A92" s="465"/>
      <c r="B92" s="287" t="s">
        <v>106</v>
      </c>
      <c r="C92" s="406">
        <v>881243</v>
      </c>
      <c r="D92" s="146" t="s">
        <v>241</v>
      </c>
      <c r="E92" s="211" t="s">
        <v>242</v>
      </c>
      <c r="F92" s="32"/>
      <c r="G92" s="257" t="s">
        <v>304</v>
      </c>
      <c r="H92" s="266" t="s">
        <v>257</v>
      </c>
      <c r="I92" s="255">
        <v>881279</v>
      </c>
      <c r="J92" s="11" t="s">
        <v>258</v>
      </c>
      <c r="K92" s="9" t="s">
        <v>259</v>
      </c>
      <c r="L92" s="32" t="s">
        <v>260</v>
      </c>
      <c r="M92" s="257" t="s">
        <v>304</v>
      </c>
      <c r="N92" s="36"/>
      <c r="O92" s="10"/>
      <c r="P92" s="134"/>
      <c r="Q92" s="135"/>
      <c r="R92" s="37"/>
    </row>
    <row r="93" spans="1:19" s="28" customFormat="1" ht="12.75" customHeight="1">
      <c r="A93" s="465"/>
      <c r="B93" s="287"/>
      <c r="C93" s="407"/>
      <c r="D93" s="136" t="s">
        <v>243</v>
      </c>
      <c r="E93" s="133" t="s">
        <v>244</v>
      </c>
      <c r="F93" s="61"/>
      <c r="G93" s="257"/>
      <c r="H93" s="266"/>
      <c r="I93" s="267"/>
      <c r="J93" s="11" t="s">
        <v>261</v>
      </c>
      <c r="K93" s="9" t="s">
        <v>262</v>
      </c>
      <c r="L93" s="200"/>
      <c r="M93" s="257"/>
      <c r="N93" s="36"/>
      <c r="O93" s="10"/>
      <c r="P93" s="134"/>
      <c r="Q93" s="135"/>
      <c r="R93" s="37"/>
    </row>
    <row r="94" spans="1:19" s="28" customFormat="1" ht="12.75" customHeight="1">
      <c r="A94" s="465"/>
      <c r="B94" s="260" t="s">
        <v>106</v>
      </c>
      <c r="C94" s="262">
        <v>881222</v>
      </c>
      <c r="D94" s="16" t="s">
        <v>245</v>
      </c>
      <c r="E94" s="17" t="s">
        <v>246</v>
      </c>
      <c r="F94" s="264"/>
      <c r="G94" s="257" t="s">
        <v>304</v>
      </c>
      <c r="H94" s="285"/>
      <c r="I94" s="460"/>
      <c r="J94" s="459"/>
      <c r="K94" s="458"/>
      <c r="L94" s="457"/>
      <c r="M94" s="304"/>
      <c r="N94" s="26"/>
      <c r="P94" s="447" t="s">
        <v>67</v>
      </c>
      <c r="Q94" s="438">
        <f>COUNTIF(G38:G55,"YES")*2+COUNTIF(M10:M13,"YES")*4+COUNTIF(M18:M31,"YES")*4+COUNTIF(M32:M37,"YES")*2+COUNTIF(M38:M41,"YES")*2+COUNTIF(M42:M53,"YES")*2+COUNTIF(S32:S55,"YES")*2+COUNTIF(G92:G107,"YES")*2+COUNTIF(G84:G87,"YES")*2+COUNTIF(M90:M107,"YES")*2+Q84</f>
        <v>0</v>
      </c>
      <c r="R94" s="27"/>
    </row>
    <row r="95" spans="1:19" s="21" customFormat="1" ht="13.5" customHeight="1" thickBot="1">
      <c r="A95" s="465"/>
      <c r="B95" s="261"/>
      <c r="C95" s="263"/>
      <c r="D95" s="13" t="s">
        <v>247</v>
      </c>
      <c r="E95" s="14" t="s">
        <v>248</v>
      </c>
      <c r="F95" s="265"/>
      <c r="G95" s="257"/>
      <c r="H95" s="333"/>
      <c r="I95" s="460"/>
      <c r="J95" s="459"/>
      <c r="K95" s="458"/>
      <c r="L95" s="457"/>
      <c r="M95" s="299"/>
      <c r="N95" s="26"/>
      <c r="O95" s="28"/>
      <c r="P95" s="424"/>
      <c r="Q95" s="426"/>
      <c r="R95" s="27"/>
    </row>
    <row r="96" spans="1:19" ht="13.5" customHeight="1">
      <c r="A96" s="465"/>
      <c r="B96" s="266" t="s">
        <v>105</v>
      </c>
      <c r="C96" s="281">
        <v>881286</v>
      </c>
      <c r="D96" s="16" t="s">
        <v>249</v>
      </c>
      <c r="E96" s="16" t="s">
        <v>250</v>
      </c>
      <c r="F96" s="179"/>
      <c r="G96" s="257" t="s">
        <v>304</v>
      </c>
      <c r="H96" s="285"/>
      <c r="I96" s="277"/>
      <c r="J96" s="16"/>
      <c r="K96" s="17"/>
      <c r="L96" s="196"/>
      <c r="M96" s="304"/>
      <c r="N96" s="25"/>
      <c r="O96" s="73"/>
      <c r="P96" s="73"/>
      <c r="Q96" s="73"/>
      <c r="R96" s="73"/>
      <c r="S96" s="28"/>
    </row>
    <row r="97" spans="1:19" ht="14.25" thickBot="1">
      <c r="A97" s="466"/>
      <c r="B97" s="408"/>
      <c r="C97" s="282"/>
      <c r="D97" s="105" t="s">
        <v>251</v>
      </c>
      <c r="E97" s="105" t="s">
        <v>252</v>
      </c>
      <c r="F97" s="180"/>
      <c r="G97" s="396"/>
      <c r="H97" s="286"/>
      <c r="I97" s="282"/>
      <c r="J97" s="105"/>
      <c r="K97" s="106"/>
      <c r="L97" s="219"/>
      <c r="M97" s="299"/>
      <c r="N97" s="26"/>
      <c r="O97" s="28"/>
      <c r="P97" s="28"/>
      <c r="Q97" s="27"/>
      <c r="R97" s="27"/>
      <c r="S97" s="21"/>
    </row>
    <row r="98" spans="1:19" ht="13.5" customHeight="1">
      <c r="A98" s="387">
        <v>3</v>
      </c>
      <c r="B98" s="409"/>
      <c r="C98" s="411"/>
      <c r="D98" s="138"/>
      <c r="E98" s="139"/>
      <c r="F98" s="268"/>
      <c r="G98" s="298"/>
      <c r="H98" s="291"/>
      <c r="I98" s="308"/>
      <c r="J98" s="15"/>
      <c r="K98" s="152"/>
      <c r="L98" s="201"/>
      <c r="M98" s="428"/>
      <c r="N98" s="25"/>
      <c r="O98" s="21"/>
      <c r="P98" s="429" t="s">
        <v>68</v>
      </c>
      <c r="Q98" s="431">
        <f>IF(Q94&lt;14,1,0)</f>
        <v>1</v>
      </c>
      <c r="R98" s="22"/>
      <c r="S98" s="28"/>
    </row>
    <row r="99" spans="1:19" ht="12.75" customHeight="1">
      <c r="A99" s="465"/>
      <c r="B99" s="410"/>
      <c r="C99" s="412"/>
      <c r="D99" s="140"/>
      <c r="E99" s="141"/>
      <c r="F99" s="269"/>
      <c r="G99" s="278"/>
      <c r="H99" s="333"/>
      <c r="I99" s="267"/>
      <c r="J99" s="11"/>
      <c r="K99" s="9"/>
      <c r="L99" s="61"/>
      <c r="M99" s="304"/>
      <c r="N99" s="26"/>
      <c r="O99" s="28"/>
      <c r="P99" s="384"/>
      <c r="Q99" s="432"/>
      <c r="R99" s="27"/>
      <c r="S99" s="28"/>
    </row>
    <row r="100" spans="1:19" ht="13.5" customHeight="1" thickBot="1">
      <c r="A100" s="465"/>
      <c r="B100" s="413"/>
      <c r="C100" s="96"/>
      <c r="D100" s="97"/>
      <c r="E100" s="98"/>
      <c r="F100" s="181"/>
      <c r="G100" s="278"/>
      <c r="H100" s="153"/>
      <c r="I100" s="103"/>
      <c r="J100" s="101"/>
      <c r="K100" s="17"/>
      <c r="L100" s="194"/>
      <c r="M100" s="304"/>
      <c r="N100" s="26"/>
      <c r="O100" s="28"/>
      <c r="P100" s="430"/>
      <c r="Q100" s="433"/>
      <c r="R100" s="27"/>
      <c r="S100" s="28"/>
    </row>
    <row r="101" spans="1:19" ht="12.75" customHeight="1" thickBot="1">
      <c r="A101" s="466"/>
      <c r="B101" s="414"/>
      <c r="C101" s="142"/>
      <c r="D101" s="143"/>
      <c r="E101" s="144"/>
      <c r="F101" s="182"/>
      <c r="G101" s="299"/>
      <c r="H101" s="154"/>
      <c r="I101" s="155"/>
      <c r="J101" s="156"/>
      <c r="K101" s="106"/>
      <c r="L101" s="186"/>
      <c r="M101" s="427"/>
      <c r="N101" s="26"/>
      <c r="O101" s="28"/>
      <c r="P101" s="28"/>
      <c r="Q101" s="27"/>
      <c r="R101" s="27"/>
      <c r="S101" s="21"/>
    </row>
    <row r="102" spans="1:19" ht="13.5" customHeight="1">
      <c r="A102" s="387">
        <v>4</v>
      </c>
      <c r="B102" s="295" t="s">
        <v>106</v>
      </c>
      <c r="C102" s="415">
        <v>881272</v>
      </c>
      <c r="D102" s="107" t="s">
        <v>263</v>
      </c>
      <c r="E102" s="89" t="s">
        <v>264</v>
      </c>
      <c r="F102" s="183" t="s">
        <v>265</v>
      </c>
      <c r="G102" s="322" t="s">
        <v>304</v>
      </c>
      <c r="H102" s="469" t="s">
        <v>275</v>
      </c>
      <c r="I102" s="255">
        <v>881215</v>
      </c>
      <c r="J102" s="8" t="s">
        <v>7</v>
      </c>
      <c r="K102" s="9" t="s">
        <v>276</v>
      </c>
      <c r="L102" s="272" t="s">
        <v>277</v>
      </c>
      <c r="M102" s="322" t="s">
        <v>304</v>
      </c>
    </row>
    <row r="103" spans="1:19">
      <c r="A103" s="465"/>
      <c r="B103" s="261"/>
      <c r="C103" s="416"/>
      <c r="D103" s="145" t="s">
        <v>266</v>
      </c>
      <c r="E103" s="80" t="s">
        <v>267</v>
      </c>
      <c r="F103" s="184" t="s">
        <v>268</v>
      </c>
      <c r="G103" s="321"/>
      <c r="H103" s="470"/>
      <c r="I103" s="256"/>
      <c r="J103" s="13" t="s">
        <v>152</v>
      </c>
      <c r="K103" s="14"/>
      <c r="L103" s="273"/>
      <c r="M103" s="257"/>
    </row>
    <row r="104" spans="1:19" ht="13.5" customHeight="1">
      <c r="A104" s="465"/>
      <c r="B104" s="287" t="s">
        <v>106</v>
      </c>
      <c r="C104" s="270">
        <v>881227</v>
      </c>
      <c r="D104" s="146" t="s">
        <v>146</v>
      </c>
      <c r="E104" s="100" t="s">
        <v>147</v>
      </c>
      <c r="F104" s="185"/>
      <c r="G104" s="321" t="s">
        <v>304</v>
      </c>
      <c r="H104" s="333"/>
      <c r="I104" s="443"/>
      <c r="J104" s="8"/>
      <c r="K104" s="8"/>
      <c r="L104" s="32"/>
      <c r="M104" s="304"/>
    </row>
    <row r="105" spans="1:19" ht="14.25" thickBot="1">
      <c r="A105" s="466"/>
      <c r="B105" s="280"/>
      <c r="C105" s="271"/>
      <c r="D105" s="147" t="s">
        <v>148</v>
      </c>
      <c r="E105" s="148" t="s">
        <v>149</v>
      </c>
      <c r="F105" s="186"/>
      <c r="G105" s="404"/>
      <c r="H105" s="285"/>
      <c r="I105" s="443"/>
      <c r="J105" s="8"/>
      <c r="K105" s="8"/>
      <c r="L105" s="120"/>
      <c r="M105" s="427"/>
    </row>
    <row r="106" spans="1:19">
      <c r="A106" s="454">
        <v>5</v>
      </c>
      <c r="B106" s="287" t="s">
        <v>106</v>
      </c>
      <c r="C106" s="417">
        <v>881280</v>
      </c>
      <c r="D106" s="149" t="s">
        <v>269</v>
      </c>
      <c r="E106" s="150" t="s">
        <v>270</v>
      </c>
      <c r="F106" s="32" t="s">
        <v>271</v>
      </c>
      <c r="G106" s="405" t="s">
        <v>304</v>
      </c>
      <c r="H106" s="421" t="s">
        <v>105</v>
      </c>
      <c r="I106" s="415">
        <v>881134</v>
      </c>
      <c r="J106" s="157" t="s">
        <v>278</v>
      </c>
      <c r="K106" s="89" t="s">
        <v>279</v>
      </c>
      <c r="L106" s="202" t="s">
        <v>280</v>
      </c>
      <c r="M106" s="369" t="s">
        <v>304</v>
      </c>
    </row>
    <row r="107" spans="1:19">
      <c r="A107" s="455"/>
      <c r="B107" s="261"/>
      <c r="C107" s="416"/>
      <c r="D107" s="145" t="s">
        <v>272</v>
      </c>
      <c r="E107" s="151" t="s">
        <v>273</v>
      </c>
      <c r="F107" s="184" t="s">
        <v>274</v>
      </c>
      <c r="G107" s="369"/>
      <c r="H107" s="309"/>
      <c r="I107" s="416"/>
      <c r="J107" s="158" t="s">
        <v>281</v>
      </c>
      <c r="K107" s="80" t="s">
        <v>282</v>
      </c>
      <c r="L107" s="203"/>
      <c r="M107" s="257"/>
    </row>
    <row r="108" spans="1:19">
      <c r="A108" s="455"/>
      <c r="B108" s="401"/>
      <c r="C108" s="263"/>
      <c r="D108" s="81"/>
      <c r="E108" s="100"/>
      <c r="F108" s="187"/>
      <c r="G108" s="315"/>
      <c r="H108" s="467"/>
      <c r="I108" s="258"/>
      <c r="J108" s="166"/>
      <c r="K108" s="100"/>
      <c r="L108" s="187"/>
      <c r="M108" s="304"/>
    </row>
    <row r="109" spans="1:19" ht="14.25" thickBot="1">
      <c r="A109" s="456"/>
      <c r="B109" s="402"/>
      <c r="C109" s="403"/>
      <c r="D109" s="94"/>
      <c r="E109" s="94"/>
      <c r="F109" s="188"/>
      <c r="G109" s="325"/>
      <c r="H109" s="468"/>
      <c r="I109" s="259"/>
      <c r="J109" s="148"/>
      <c r="K109" s="94"/>
      <c r="L109" s="188"/>
      <c r="M109" s="427"/>
    </row>
  </sheetData>
  <sheetProtection formatCells="0" formatColumns="0" formatRows="0"/>
  <mergeCells count="380">
    <mergeCell ref="A106:A109"/>
    <mergeCell ref="M88:M89"/>
    <mergeCell ref="M94:M95"/>
    <mergeCell ref="L94:L95"/>
    <mergeCell ref="K94:K95"/>
    <mergeCell ref="J94:J95"/>
    <mergeCell ref="I94:I95"/>
    <mergeCell ref="H94:H95"/>
    <mergeCell ref="G90:G91"/>
    <mergeCell ref="B90:B91"/>
    <mergeCell ref="C90:C91"/>
    <mergeCell ref="A90:A97"/>
    <mergeCell ref="A98:A101"/>
    <mergeCell ref="A102:A105"/>
    <mergeCell ref="H108:H109"/>
    <mergeCell ref="H96:H97"/>
    <mergeCell ref="H98:H99"/>
    <mergeCell ref="H102:H103"/>
    <mergeCell ref="H104:H105"/>
    <mergeCell ref="I90:I91"/>
    <mergeCell ref="I96:I97"/>
    <mergeCell ref="I98:I99"/>
    <mergeCell ref="I102:I103"/>
    <mergeCell ref="J1:P1"/>
    <mergeCell ref="M86:M87"/>
    <mergeCell ref="M90:M91"/>
    <mergeCell ref="I86:I87"/>
    <mergeCell ref="I88:I89"/>
    <mergeCell ref="I74:I75"/>
    <mergeCell ref="P88:P89"/>
    <mergeCell ref="P90:P91"/>
    <mergeCell ref="P94:P95"/>
    <mergeCell ref="E4:I4"/>
    <mergeCell ref="E5:I5"/>
    <mergeCell ref="M10:M11"/>
    <mergeCell ref="M34:M35"/>
    <mergeCell ref="M40:M41"/>
    <mergeCell ref="M36:M37"/>
    <mergeCell ref="H38:H39"/>
    <mergeCell ref="I38:I39"/>
    <mergeCell ref="P18:P19"/>
    <mergeCell ref="M42:M43"/>
    <mergeCell ref="M44:M45"/>
    <mergeCell ref="M32:M33"/>
    <mergeCell ref="H36:H37"/>
    <mergeCell ref="M72:M73"/>
    <mergeCell ref="I34:I35"/>
    <mergeCell ref="M74:M75"/>
    <mergeCell ref="P84:P85"/>
    <mergeCell ref="Q84:Q85"/>
    <mergeCell ref="M108:M109"/>
    <mergeCell ref="M106:M107"/>
    <mergeCell ref="M104:M105"/>
    <mergeCell ref="M102:M103"/>
    <mergeCell ref="M100:M101"/>
    <mergeCell ref="M98:M99"/>
    <mergeCell ref="M96:M97"/>
    <mergeCell ref="M84:M85"/>
    <mergeCell ref="P98:P100"/>
    <mergeCell ref="Q98:Q100"/>
    <mergeCell ref="Q88:Q89"/>
    <mergeCell ref="Q90:Q91"/>
    <mergeCell ref="Q94:Q95"/>
    <mergeCell ref="P80:P81"/>
    <mergeCell ref="P82:P83"/>
    <mergeCell ref="Q80:Q81"/>
    <mergeCell ref="Q82:Q83"/>
    <mergeCell ref="M80:M81"/>
    <mergeCell ref="M82:M83"/>
    <mergeCell ref="I106:I107"/>
    <mergeCell ref="H90:H91"/>
    <mergeCell ref="H106:H107"/>
    <mergeCell ref="H88:H89"/>
    <mergeCell ref="G88:G89"/>
    <mergeCell ref="G86:G87"/>
    <mergeCell ref="G72:G73"/>
    <mergeCell ref="G74:G75"/>
    <mergeCell ref="G80:G81"/>
    <mergeCell ref="G82:G83"/>
    <mergeCell ref="G92:G93"/>
    <mergeCell ref="G98:G99"/>
    <mergeCell ref="I82:I83"/>
    <mergeCell ref="I78:I79"/>
    <mergeCell ref="G84:G85"/>
    <mergeCell ref="I104:I105"/>
    <mergeCell ref="G108:G109"/>
    <mergeCell ref="G96:G97"/>
    <mergeCell ref="G100:G101"/>
    <mergeCell ref="G102:G103"/>
    <mergeCell ref="G104:G105"/>
    <mergeCell ref="G106:G107"/>
    <mergeCell ref="A62:A89"/>
    <mergeCell ref="B92:B93"/>
    <mergeCell ref="C92:C93"/>
    <mergeCell ref="B96:B97"/>
    <mergeCell ref="C96:C97"/>
    <mergeCell ref="B98:B99"/>
    <mergeCell ref="C98:C99"/>
    <mergeCell ref="B100:B101"/>
    <mergeCell ref="B102:B103"/>
    <mergeCell ref="C102:C103"/>
    <mergeCell ref="B104:B105"/>
    <mergeCell ref="B106:B107"/>
    <mergeCell ref="C106:C107"/>
    <mergeCell ref="B108:B109"/>
    <mergeCell ref="C108:C109"/>
    <mergeCell ref="B88:B89"/>
    <mergeCell ref="C88:C89"/>
    <mergeCell ref="B74:B75"/>
    <mergeCell ref="I66:I67"/>
    <mergeCell ref="I68:I69"/>
    <mergeCell ref="N18:N19"/>
    <mergeCell ref="O18:O19"/>
    <mergeCell ref="N20:N21"/>
    <mergeCell ref="O20:O21"/>
    <mergeCell ref="N36:N37"/>
    <mergeCell ref="S52:S53"/>
    <mergeCell ref="S56:S57"/>
    <mergeCell ref="S54:S55"/>
    <mergeCell ref="N54:N55"/>
    <mergeCell ref="N56:N57"/>
    <mergeCell ref="O56:O57"/>
    <mergeCell ref="N30:N31"/>
    <mergeCell ref="O30:O31"/>
    <mergeCell ref="N32:N33"/>
    <mergeCell ref="O32:O33"/>
    <mergeCell ref="N26:N27"/>
    <mergeCell ref="O26:O27"/>
    <mergeCell ref="N28:N29"/>
    <mergeCell ref="O28:O29"/>
    <mergeCell ref="N24:N25"/>
    <mergeCell ref="O24:O25"/>
    <mergeCell ref="O34:O35"/>
    <mergeCell ref="A38:A43"/>
    <mergeCell ref="A44:A47"/>
    <mergeCell ref="A48:A53"/>
    <mergeCell ref="A54:A57"/>
    <mergeCell ref="B50:B51"/>
    <mergeCell ref="B54:B55"/>
    <mergeCell ref="G50:G51"/>
    <mergeCell ref="G54:G55"/>
    <mergeCell ref="C44:C45"/>
    <mergeCell ref="C48:C49"/>
    <mergeCell ref="C50:C51"/>
    <mergeCell ref="C54:C55"/>
    <mergeCell ref="B44:B45"/>
    <mergeCell ref="B38:B39"/>
    <mergeCell ref="C38:C39"/>
    <mergeCell ref="B42:B43"/>
    <mergeCell ref="B52:B53"/>
    <mergeCell ref="G52:G53"/>
    <mergeCell ref="G42:G43"/>
    <mergeCell ref="B46:B47"/>
    <mergeCell ref="B48:B49"/>
    <mergeCell ref="S16:S17"/>
    <mergeCell ref="S18:S19"/>
    <mergeCell ref="S20:S21"/>
    <mergeCell ref="S22:S23"/>
    <mergeCell ref="S24:S25"/>
    <mergeCell ref="R18:R19"/>
    <mergeCell ref="O36:O37"/>
    <mergeCell ref="O38:O39"/>
    <mergeCell ref="O42:O43"/>
    <mergeCell ref="S30:S31"/>
    <mergeCell ref="S32:S33"/>
    <mergeCell ref="S36:S37"/>
    <mergeCell ref="Q18:Q19"/>
    <mergeCell ref="B2:D2"/>
    <mergeCell ref="B3:D3"/>
    <mergeCell ref="B4:D4"/>
    <mergeCell ref="B5:D5"/>
    <mergeCell ref="E3:F3"/>
    <mergeCell ref="H8:M8"/>
    <mergeCell ref="N8:S8"/>
    <mergeCell ref="S46:S47"/>
    <mergeCell ref="S34:S35"/>
    <mergeCell ref="S38:S39"/>
    <mergeCell ref="M38:M39"/>
    <mergeCell ref="S10:S11"/>
    <mergeCell ref="S12:S13"/>
    <mergeCell ref="S14:S15"/>
    <mergeCell ref="S26:S27"/>
    <mergeCell ref="S28:S29"/>
    <mergeCell ref="G38:G39"/>
    <mergeCell ref="H44:H45"/>
    <mergeCell ref="I44:I45"/>
    <mergeCell ref="N44:N45"/>
    <mergeCell ref="O44:O45"/>
    <mergeCell ref="S42:S43"/>
    <mergeCell ref="S44:S45"/>
    <mergeCell ref="I54:I55"/>
    <mergeCell ref="S48:S49"/>
    <mergeCell ref="S50:S51"/>
    <mergeCell ref="E2:I2"/>
    <mergeCell ref="M76:M77"/>
    <mergeCell ref="M78:M79"/>
    <mergeCell ref="G3:I3"/>
    <mergeCell ref="B8:G8"/>
    <mergeCell ref="M56:M57"/>
    <mergeCell ref="M62:M63"/>
    <mergeCell ref="M64:M65"/>
    <mergeCell ref="M66:M67"/>
    <mergeCell ref="M68:M69"/>
    <mergeCell ref="M70:M71"/>
    <mergeCell ref="G56:G57"/>
    <mergeCell ref="G62:G63"/>
    <mergeCell ref="G64:G65"/>
    <mergeCell ref="G66:G67"/>
    <mergeCell ref="G68:G69"/>
    <mergeCell ref="G70:G71"/>
    <mergeCell ref="M24:M25"/>
    <mergeCell ref="B66:B67"/>
    <mergeCell ref="C66:C67"/>
    <mergeCell ref="H66:H67"/>
    <mergeCell ref="B86:B87"/>
    <mergeCell ref="H86:H87"/>
    <mergeCell ref="B78:B79"/>
    <mergeCell ref="C78:C79"/>
    <mergeCell ref="H78:H79"/>
    <mergeCell ref="B80:B81"/>
    <mergeCell ref="C80:C81"/>
    <mergeCell ref="B82:B83"/>
    <mergeCell ref="B70:B71"/>
    <mergeCell ref="C70:C71"/>
    <mergeCell ref="C74:C75"/>
    <mergeCell ref="C82:C83"/>
    <mergeCell ref="G76:G77"/>
    <mergeCell ref="G78:G79"/>
    <mergeCell ref="H74:H75"/>
    <mergeCell ref="C84:C85"/>
    <mergeCell ref="C86:C87"/>
    <mergeCell ref="B84:B85"/>
    <mergeCell ref="H82:H83"/>
    <mergeCell ref="B68:B69"/>
    <mergeCell ref="C68:C69"/>
    <mergeCell ref="H68:H69"/>
    <mergeCell ref="C76:C77"/>
    <mergeCell ref="H76:H77"/>
    <mergeCell ref="I76:I77"/>
    <mergeCell ref="B72:B73"/>
    <mergeCell ref="C72:C73"/>
    <mergeCell ref="H72:H73"/>
    <mergeCell ref="I72:I73"/>
    <mergeCell ref="H70:H71"/>
    <mergeCell ref="B76:B77"/>
    <mergeCell ref="I70:I71"/>
    <mergeCell ref="G36:G37"/>
    <mergeCell ref="G40:G41"/>
    <mergeCell ref="I36:I37"/>
    <mergeCell ref="H40:H41"/>
    <mergeCell ref="I40:I41"/>
    <mergeCell ref="C62:C63"/>
    <mergeCell ref="B64:B65"/>
    <mergeCell ref="C64:C65"/>
    <mergeCell ref="B56:B57"/>
    <mergeCell ref="H56:H57"/>
    <mergeCell ref="B62:B63"/>
    <mergeCell ref="H62:H63"/>
    <mergeCell ref="H64:H65"/>
    <mergeCell ref="H54:H55"/>
    <mergeCell ref="B60:G60"/>
    <mergeCell ref="H60:M60"/>
    <mergeCell ref="J54:J55"/>
    <mergeCell ref="K54:K55"/>
    <mergeCell ref="L54:L55"/>
    <mergeCell ref="K56:K57"/>
    <mergeCell ref="J56:J57"/>
    <mergeCell ref="I56:I57"/>
    <mergeCell ref="I62:I63"/>
    <mergeCell ref="I64:I65"/>
    <mergeCell ref="N40:N41"/>
    <mergeCell ref="G44:G45"/>
    <mergeCell ref="N38:N39"/>
    <mergeCell ref="O48:O49"/>
    <mergeCell ref="N50:N51"/>
    <mergeCell ref="O50:O51"/>
    <mergeCell ref="N52:N53"/>
    <mergeCell ref="O52:O53"/>
    <mergeCell ref="H48:H49"/>
    <mergeCell ref="I48:I49"/>
    <mergeCell ref="M50:M51"/>
    <mergeCell ref="M48:M49"/>
    <mergeCell ref="H46:H47"/>
    <mergeCell ref="G48:G49"/>
    <mergeCell ref="H50:H51"/>
    <mergeCell ref="I50:I51"/>
    <mergeCell ref="H52:H53"/>
    <mergeCell ref="G46:G47"/>
    <mergeCell ref="H32:H33"/>
    <mergeCell ref="H26:H27"/>
    <mergeCell ref="H28:H29"/>
    <mergeCell ref="M30:M31"/>
    <mergeCell ref="M28:M29"/>
    <mergeCell ref="M26:M27"/>
    <mergeCell ref="H30:H31"/>
    <mergeCell ref="H18:H19"/>
    <mergeCell ref="I18:I19"/>
    <mergeCell ref="H20:H21"/>
    <mergeCell ref="I20:I21"/>
    <mergeCell ref="M20:M21"/>
    <mergeCell ref="M18:M19"/>
    <mergeCell ref="M22:M23"/>
    <mergeCell ref="I22:I23"/>
    <mergeCell ref="I24:I25"/>
    <mergeCell ref="I26:I27"/>
    <mergeCell ref="I28:I29"/>
    <mergeCell ref="I30:I31"/>
    <mergeCell ref="I32:I33"/>
    <mergeCell ref="H34:H35"/>
    <mergeCell ref="A10:A37"/>
    <mergeCell ref="O10:O11"/>
    <mergeCell ref="B12:B13"/>
    <mergeCell ref="C12:C13"/>
    <mergeCell ref="H12:H13"/>
    <mergeCell ref="I12:I13"/>
    <mergeCell ref="N12:N13"/>
    <mergeCell ref="O12:O13"/>
    <mergeCell ref="G18:G19"/>
    <mergeCell ref="G20:G21"/>
    <mergeCell ref="G22:G23"/>
    <mergeCell ref="G24:G25"/>
    <mergeCell ref="G26:G27"/>
    <mergeCell ref="G28:G29"/>
    <mergeCell ref="G30:G31"/>
    <mergeCell ref="G32:G33"/>
    <mergeCell ref="G34:G35"/>
    <mergeCell ref="H22:H23"/>
    <mergeCell ref="N22:N23"/>
    <mergeCell ref="O22:O23"/>
    <mergeCell ref="H24:H25"/>
    <mergeCell ref="N34:N35"/>
    <mergeCell ref="M16:M17"/>
    <mergeCell ref="A7:R7"/>
    <mergeCell ref="B10:B11"/>
    <mergeCell ref="C10:C11"/>
    <mergeCell ref="H10:H11"/>
    <mergeCell ref="I10:I11"/>
    <mergeCell ref="N10:N11"/>
    <mergeCell ref="B16:B17"/>
    <mergeCell ref="C16:C17"/>
    <mergeCell ref="H16:H17"/>
    <mergeCell ref="I16:I17"/>
    <mergeCell ref="N16:N17"/>
    <mergeCell ref="O16:O17"/>
    <mergeCell ref="B14:B15"/>
    <mergeCell ref="C14:C15"/>
    <mergeCell ref="H14:H15"/>
    <mergeCell ref="I14:I15"/>
    <mergeCell ref="G10:G11"/>
    <mergeCell ref="G12:G13"/>
    <mergeCell ref="G14:G15"/>
    <mergeCell ref="G16:G17"/>
    <mergeCell ref="N14:N15"/>
    <mergeCell ref="O14:O15"/>
    <mergeCell ref="M14:M15"/>
    <mergeCell ref="M12:M13"/>
    <mergeCell ref="R48:R49"/>
    <mergeCell ref="O54:O55"/>
    <mergeCell ref="G94:G95"/>
    <mergeCell ref="I108:I109"/>
    <mergeCell ref="M92:M93"/>
    <mergeCell ref="S40:S41"/>
    <mergeCell ref="B94:B95"/>
    <mergeCell ref="C94:C95"/>
    <mergeCell ref="F94:F95"/>
    <mergeCell ref="H92:H93"/>
    <mergeCell ref="I92:I93"/>
    <mergeCell ref="F98:F99"/>
    <mergeCell ref="C104:C105"/>
    <mergeCell ref="L102:L103"/>
    <mergeCell ref="N42:N43"/>
    <mergeCell ref="O40:O41"/>
    <mergeCell ref="M52:M53"/>
    <mergeCell ref="H42:H43"/>
    <mergeCell ref="I42:I43"/>
    <mergeCell ref="M54:M55"/>
    <mergeCell ref="N46:N47"/>
    <mergeCell ref="O46:O47"/>
    <mergeCell ref="N48:N49"/>
    <mergeCell ref="M46:M47"/>
  </mergeCells>
  <phoneticPr fontId="2"/>
  <conditionalFormatting sqref="Q90 Q94">
    <cfRule type="expression" dxfId="131" priority="259">
      <formula>$Q$94&gt;=14</formula>
    </cfRule>
    <cfRule type="expression" dxfId="130" priority="260">
      <formula>IF(AND($Q$94&gt;=12,$Q$94&lt;=14),TRUE,FALSE)</formula>
    </cfRule>
    <cfRule type="expression" dxfId="129" priority="261">
      <formula>$Q$94&lt;12</formula>
    </cfRule>
  </conditionalFormatting>
  <conditionalFormatting sqref="M12 M22:M23 M26:M27 M30:M35">
    <cfRule type="cellIs" dxfId="128" priority="245" operator="equal">
      <formula>"YES"</formula>
    </cfRule>
  </conditionalFormatting>
  <conditionalFormatting sqref="M12:M13 M22:M23 M26:M27 M30:M35 Q90 Q94">
    <cfRule type="expression" dxfId="127" priority="214">
      <formula>COUNTIF($M$10:$M$36,"YES")&gt;1</formula>
    </cfRule>
  </conditionalFormatting>
  <conditionalFormatting sqref="S44:S45">
    <cfRule type="cellIs" dxfId="126" priority="235" operator="equal">
      <formula>"YES"</formula>
    </cfRule>
  </conditionalFormatting>
  <conditionalFormatting sqref="S48:S49">
    <cfRule type="cellIs" dxfId="125" priority="233" operator="equal">
      <formula>"YES"</formula>
    </cfRule>
  </conditionalFormatting>
  <conditionalFormatting sqref="G38:G39">
    <cfRule type="containsText" dxfId="124" priority="255" operator="containsText" text="YES">
      <formula>NOT(ISERROR(SEARCH("YES",G38)))</formula>
    </cfRule>
  </conditionalFormatting>
  <conditionalFormatting sqref="M42:M43">
    <cfRule type="containsText" dxfId="123" priority="243" operator="containsText" text="YES">
      <formula>NOT(ISERROR(SEARCH("YES",M42)))</formula>
    </cfRule>
  </conditionalFormatting>
  <conditionalFormatting sqref="M44:M45">
    <cfRule type="containsText" dxfId="122" priority="242" operator="containsText" text="YES">
      <formula>NOT(ISERROR(SEARCH("YES",M44)))</formula>
    </cfRule>
  </conditionalFormatting>
  <conditionalFormatting sqref="M48:M51">
    <cfRule type="containsText" dxfId="121" priority="241" operator="containsText" text="YES">
      <formula>NOT(ISERROR(SEARCH("YES",M48)))</formula>
    </cfRule>
  </conditionalFormatting>
  <conditionalFormatting sqref="G48:G51">
    <cfRule type="cellIs" dxfId="120" priority="252" operator="equal">
      <formula>"YES"</formula>
    </cfRule>
  </conditionalFormatting>
  <conditionalFormatting sqref="M38:M39">
    <cfRule type="containsText" dxfId="119" priority="244" operator="containsText" text="YES">
      <formula>NOT(ISERROR(SEARCH("YES",M38)))</formula>
    </cfRule>
  </conditionalFormatting>
  <conditionalFormatting sqref="M38:M39 M42:M43 Q90 Q94">
    <cfRule type="expression" dxfId="118" priority="213">
      <formula>COUNTIF($M$38:$M$43,"YES")&gt;1</formula>
    </cfRule>
  </conditionalFormatting>
  <conditionalFormatting sqref="M38:M39 M42:M43">
    <cfRule type="expression" dxfId="117" priority="221">
      <formula>IF(AND($M$18="YES",COUNTIF($M$38:$M$43,"YES")&gt;0),TRUE,FALSE)</formula>
    </cfRule>
  </conditionalFormatting>
  <conditionalFormatting sqref="S34:S35">
    <cfRule type="cellIs" dxfId="116" priority="167" operator="equal">
      <formula>"YES"</formula>
    </cfRule>
  </conditionalFormatting>
  <conditionalFormatting sqref="S54:S55">
    <cfRule type="cellIs" dxfId="115" priority="165" operator="equal">
      <formula>"YES"</formula>
    </cfRule>
  </conditionalFormatting>
  <conditionalFormatting sqref="G84">
    <cfRule type="cellIs" dxfId="114" priority="121" operator="equal">
      <formula>"YES"</formula>
    </cfRule>
  </conditionalFormatting>
  <conditionalFormatting sqref="G84 Q90 Q94">
    <cfRule type="expression" dxfId="113" priority="88">
      <formula>COUNTIF($G$62:$G$89,"YES")&gt;1</formula>
    </cfRule>
  </conditionalFormatting>
  <conditionalFormatting sqref="G96:G97">
    <cfRule type="cellIs" dxfId="112" priority="119" operator="equal">
      <formula>"YES"</formula>
    </cfRule>
  </conditionalFormatting>
  <conditionalFormatting sqref="G106:G107">
    <cfRule type="cellIs" dxfId="111" priority="85" operator="equal">
      <formula>"YES"</formula>
    </cfRule>
  </conditionalFormatting>
  <conditionalFormatting sqref="G102:G103">
    <cfRule type="cellIs" dxfId="110" priority="82" operator="equal">
      <formula>"YES"</formula>
    </cfRule>
  </conditionalFormatting>
  <conditionalFormatting sqref="G104:G105">
    <cfRule type="cellIs" dxfId="109" priority="81" operator="equal">
      <formula>"YES"</formula>
    </cfRule>
  </conditionalFormatting>
  <conditionalFormatting sqref="G102:G105 Q90 Q94">
    <cfRule type="expression" dxfId="108" priority="80">
      <formula>COUNTIF($G$102:$G$104,"YES")&gt;1</formula>
    </cfRule>
  </conditionalFormatting>
  <conditionalFormatting sqref="M92:M93">
    <cfRule type="cellIs" dxfId="107" priority="68" operator="equal">
      <formula>"YES"</formula>
    </cfRule>
  </conditionalFormatting>
  <conditionalFormatting sqref="S34 Q90 Q94">
    <cfRule type="expression" dxfId="106" priority="58">
      <formula>COUNTIF($S$10:$S$37,"YES")&gt;1</formula>
    </cfRule>
    <cfRule type="expression" dxfId="69" priority="62">
      <formula>IF(AND($S$34="YES",COUNTIF($S$38,"YES")&gt;0),TRUE,FALSE)</formula>
    </cfRule>
  </conditionalFormatting>
  <conditionalFormatting sqref="M90">
    <cfRule type="expression" dxfId="105" priority="63">
      <formula>IF(AND($M$90="YES",COUNTIF($M$62,"YES")&gt;0),TRUE,FALSE)</formula>
    </cfRule>
  </conditionalFormatting>
  <conditionalFormatting sqref="S40:S41">
    <cfRule type="cellIs" dxfId="104" priority="61" operator="equal">
      <formula>"YES"</formula>
    </cfRule>
  </conditionalFormatting>
  <conditionalFormatting sqref="S40:S41 Q90 Q94">
    <cfRule type="expression" dxfId="103" priority="42">
      <formula>COUNTIF($S$38:$S$43,"YES")&gt;1</formula>
    </cfRule>
  </conditionalFormatting>
  <conditionalFormatting sqref="M48 M50 Q90 Q94">
    <cfRule type="expression" dxfId="102" priority="210">
      <formula>COUNTIF($M$48:$M$53,"YES")&gt;1</formula>
    </cfRule>
  </conditionalFormatting>
  <conditionalFormatting sqref="M90:M91">
    <cfRule type="cellIs" dxfId="101" priority="55" operator="equal">
      <formula>"YES"</formula>
    </cfRule>
  </conditionalFormatting>
  <conditionalFormatting sqref="M90:M93 Q90 Q94">
    <cfRule type="expression" dxfId="100" priority="52">
      <formula>COUNTIF($M$90:$M$92,"YES")&gt;1</formula>
    </cfRule>
  </conditionalFormatting>
  <conditionalFormatting sqref="M90">
    <cfRule type="expression" dxfId="99" priority="53">
      <formula>IF(AND($M$62="YES",COUNTIF($M$90,"YES")&gt;0),TRUE,FALSE)</formula>
    </cfRule>
  </conditionalFormatting>
  <conditionalFormatting sqref="S36:S37">
    <cfRule type="cellIs" dxfId="98" priority="34" operator="equal">
      <formula>"YES"</formula>
    </cfRule>
  </conditionalFormatting>
  <conditionalFormatting sqref="S36 Q90 Q94">
    <cfRule type="expression" dxfId="97" priority="31">
      <formula>COUNTIF($G$62:$G$89,"YES")&gt;1</formula>
    </cfRule>
    <cfRule type="expression" dxfId="70" priority="33">
      <formula>IF(AND($S$36="YES",COUNTIF($S$38,"YES")&gt;0),TRUE,FALSE)</formula>
    </cfRule>
  </conditionalFormatting>
  <conditionalFormatting sqref="S32:S33">
    <cfRule type="cellIs" dxfId="96" priority="30" operator="equal">
      <formula>"YES"</formula>
    </cfRule>
  </conditionalFormatting>
  <conditionalFormatting sqref="S32 Q90 Q94">
    <cfRule type="expression" dxfId="95" priority="28">
      <formula>COUNTIF($S$10:$S$37,"YES")&gt;1</formula>
    </cfRule>
    <cfRule type="expression" dxfId="71" priority="29">
      <formula>IF(AND($S$32="YES",COUNTIF($S$10:$S$37,"YES")&gt;0),TRUE,FALSE)</formula>
    </cfRule>
  </conditionalFormatting>
  <conditionalFormatting sqref="S38:S39">
    <cfRule type="cellIs" dxfId="94" priority="27" operator="equal">
      <formula>"YES"</formula>
    </cfRule>
  </conditionalFormatting>
  <conditionalFormatting sqref="S38 Q90 Q94">
    <cfRule type="expression" dxfId="93" priority="25">
      <formula>COUNTIF($S$38:$S$41,"YES")&gt;1</formula>
    </cfRule>
    <cfRule type="expression" dxfId="72" priority="26">
      <formula>IF(AND($S$38="YES",COUNTIF($S$10:$S$37,"YES")&gt;0),TRUE,FALSE)</formula>
    </cfRule>
  </conditionalFormatting>
  <conditionalFormatting sqref="G84:G85 Q90 Q94">
    <cfRule type="expression" dxfId="92" priority="24">
      <formula>IF(AND($G$84="YES",COUNTIF($G$96,"YES")&gt;0),TRUE,FALSE)</formula>
    </cfRule>
  </conditionalFormatting>
  <conditionalFormatting sqref="G86">
    <cfRule type="cellIs" dxfId="91" priority="23" operator="equal">
      <formula>"YES"</formula>
    </cfRule>
  </conditionalFormatting>
  <conditionalFormatting sqref="G86 Q90 Q94">
    <cfRule type="expression" dxfId="90" priority="22">
      <formula>COUNTIF($G$62:$G$89,"YES")&gt;1</formula>
    </cfRule>
  </conditionalFormatting>
  <conditionalFormatting sqref="G86:G87 Q90 Q94">
    <cfRule type="expression" dxfId="89" priority="21">
      <formula>IF(AND($G$86="YES",COUNTIF($G$96,"YES")&gt;0),TRUE,FALSE)</formula>
    </cfRule>
  </conditionalFormatting>
  <conditionalFormatting sqref="G92:G93">
    <cfRule type="cellIs" dxfId="88" priority="20" operator="equal">
      <formula>"YES"</formula>
    </cfRule>
  </conditionalFormatting>
  <conditionalFormatting sqref="G92 Q90 Q94">
    <cfRule type="expression" dxfId="87" priority="18">
      <formula>COUNTIF($G$90:$G$97,"YES")&gt;1</formula>
    </cfRule>
  </conditionalFormatting>
  <conditionalFormatting sqref="G94:G95">
    <cfRule type="cellIs" dxfId="86" priority="17" operator="equal">
      <formula>"YES"</formula>
    </cfRule>
  </conditionalFormatting>
  <conditionalFormatting sqref="G94 Q90 Q94">
    <cfRule type="expression" dxfId="85" priority="15">
      <formula>COUNTIF($G$90:$G$97,"YES")&gt;1</formula>
    </cfRule>
  </conditionalFormatting>
  <conditionalFormatting sqref="M102:M103">
    <cfRule type="cellIs" dxfId="84" priority="14" operator="equal">
      <formula>"YES"</formula>
    </cfRule>
  </conditionalFormatting>
  <conditionalFormatting sqref="M102 Q90 Q94">
    <cfRule type="expression" dxfId="83" priority="13">
      <formula>IF(AND($M$102="YES",COUNTIF($M$106,"YES")&gt;0),TRUE,FALSE)</formula>
    </cfRule>
  </conditionalFormatting>
  <conditionalFormatting sqref="M106:M107">
    <cfRule type="cellIs" dxfId="82" priority="11" operator="equal">
      <formula>"YES"</formula>
    </cfRule>
  </conditionalFormatting>
  <conditionalFormatting sqref="M106 Q94 Q90">
    <cfRule type="expression" dxfId="81" priority="10">
      <formula>IF(AND($M$106="YES",COUNTIF($M$102,"YES")&gt;0),TRUE,FALSE)</formula>
    </cfRule>
  </conditionalFormatting>
  <conditionalFormatting sqref="Q94 Q90 M30">
    <cfRule type="expression" dxfId="80" priority="1">
      <formula>IF(AND($G$96="YES",COUNTIF($M$30,"YES")&gt;0),TRUE,FALSE)</formula>
    </cfRule>
    <cfRule type="expression" dxfId="79" priority="8">
      <formula>IF(AND($S$38="YES",COUNTIF($M$30,"YES")&gt;0),TRUE,FALSE)</formula>
    </cfRule>
  </conditionalFormatting>
  <conditionalFormatting sqref="M26 Q90 Q94">
    <cfRule type="expression" dxfId="78" priority="2">
      <formula>IF(AND($G$96="YES",COUNTIF($M$26,"YES")&gt;0),TRUE,FALSE)</formula>
    </cfRule>
    <cfRule type="expression" dxfId="77" priority="7">
      <formula>IF(AND($S$38="YES",COUNTIF($M$26,"YES")&gt;0),TRUE,FALSE)</formula>
    </cfRule>
  </conditionalFormatting>
  <conditionalFormatting sqref="M22 Q90 Q94">
    <cfRule type="expression" dxfId="76" priority="3">
      <formula>IF(AND($G$96="YES",COUNTIF($M$22,"YES")&gt;0),TRUE,FALSE)</formula>
    </cfRule>
    <cfRule type="expression" dxfId="75" priority="6">
      <formula>IF(AND($S$38="YES",COUNTIF($M$22,"YES")&gt;0),TRUE,FALSE)</formula>
    </cfRule>
  </conditionalFormatting>
  <conditionalFormatting sqref="M12 Q90 Q94">
    <cfRule type="expression" dxfId="74" priority="4">
      <formula>IF(AND($G$96="YES",COUNTIF($M$12,"YES")&gt;0),TRUE,FALSE)</formula>
    </cfRule>
    <cfRule type="expression" dxfId="73" priority="5">
      <formula>IF(AND($S$38="YES",COUNTIF($M$12,"YES")&gt;0),TRUE,FALSE)</formula>
    </cfRule>
  </conditionalFormatting>
  <conditionalFormatting sqref="G96 Q90 Q94">
    <cfRule type="expression" dxfId="68" priority="89">
      <formula>COUNTIF($G$90:$G$97,"YES")&gt;1</formula>
    </cfRule>
    <cfRule type="expression" dxfId="67" priority="90">
      <formula>IF(AND($G$96="YES",COUNTIF($G$62:$G$89,"YES")&gt;0),TRUE,FALSE)</formula>
    </cfRule>
  </conditionalFormatting>
  <conditionalFormatting sqref="G48:G51 Q90 Q94">
    <cfRule type="expression" dxfId="66" priority="215">
      <formula>COUNTIF($G$48:$G$51,"YES")&gt;1</formula>
    </cfRule>
  </conditionalFormatting>
  <dataValidations count="10">
    <dataValidation type="list" allowBlank="1" showInputMessage="1" showErrorMessage="1" sqref="G38:G39 M38:M39 S32:S41 G92:G97 M22:M23 G84:G87 G102:G107 M26:M27 M48:M51 M102:M103 M42:M45 M12:M13 S48:S49 S54:S55 M30:M35 G48:G51 S44:S45 M90:M93 M106:M107">
      <formula1>"-,YES"</formula1>
    </dataValidation>
    <dataValidation type="textLength" allowBlank="1" showInputMessage="1" showErrorMessage="1" sqref="G40 M46 S50 M56 M28 M54 G42 M100 G16 M94 S46 S52 M108 G98 G18 G20 G22 G24 G26 G28 G30 G32 G34 G36 M14 M16 G56 G54 G108 G100 M88 M64 M66 M68 M70 M72 M74 M76 M78 M80 M82 M84 M86 M104 G52 M98 G10 G12 G14 G44 G46 M96 M52 M40 M36 M10 M18 M20 M24 S56 S42 M62">
      <formula1>0</formula1>
      <formula2>0</formula2>
    </dataValidation>
    <dataValidation type="list" allowBlank="1" showInputMessage="1" showErrorMessage="1" sqref="Q84">
      <formula1>"0,2,3,4"</formula1>
    </dataValidation>
    <dataValidation type="list" showInputMessage="1" showErrorMessage="1" sqref="G3:I3">
      <formula1>"Shool,Graduate School"</formula1>
    </dataValidation>
    <dataValidation type="list" allowBlank="1" showInputMessage="1" showErrorMessage="1" sqref="E3:F3">
      <formula1>"Economics,Osaka School of International Public Policy,Engneering,Engneering Science,Foreign Studies,Human Sciences,Law,Letters,Science"</formula1>
    </dataValidation>
    <dataValidation type="textLength" allowBlank="1" showInputMessage="1" showErrorMessage="1" sqref="E2:I2">
      <formula1>8</formula1>
      <formula2>8</formula2>
    </dataValidation>
    <dataValidation imeMode="off" allowBlank="1" showInputMessage="1" showErrorMessage="1" sqref="K39 E107 E103 K107 E109 Q47 E105 Q53 Q51 Q41 Q57 K109 Q37 E89 E91 Q43"/>
    <dataValidation allowBlank="1" showInputMessage="1" showErrorMessage="1" promptTitle="希望開講曜日・時間" prompt="開講希望曜日と時間を入力してください。調整が必要な場合、OUSSEPコーディネーターより連絡させていただきます。" sqref="I38"/>
    <dataValidation allowBlank="1" showErrorMessage="1" sqref="D44:E45 C44"/>
    <dataValidation allowBlank="1" showErrorMessage="1" promptTitle="希望開講曜日・時間" prompt="開講希望曜日と時間を入力してください。調整が必要な場合、OUSSEPコーディネーターより連絡させていただきます。" sqref="C100:D106 I104:J107"/>
  </dataValidations>
  <printOptions horizontalCentered="1" verticalCentered="1"/>
  <pageMargins left="0.23622047244094491" right="0.23622047244094491" top="0.35433070866141736" bottom="0.35433070866141736" header="0.31496062992125984" footer="0.31496062992125984"/>
  <pageSetup paperSize="8" scale="6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C22" sqref="C22"/>
    </sheetView>
  </sheetViews>
  <sheetFormatPr defaultRowHeight="13.5"/>
  <sheetData>
    <row r="1" spans="1:14">
      <c r="A1" t="s">
        <v>153</v>
      </c>
      <c r="B1" s="69" t="s">
        <v>69</v>
      </c>
      <c r="C1" s="69" t="s">
        <v>70</v>
      </c>
      <c r="D1" s="69" t="s">
        <v>71</v>
      </c>
      <c r="E1" s="69" t="s">
        <v>72</v>
      </c>
      <c r="F1" s="69" t="s">
        <v>73</v>
      </c>
      <c r="G1" s="69" t="s">
        <v>74</v>
      </c>
      <c r="H1" s="69" t="s">
        <v>75</v>
      </c>
      <c r="I1" s="69" t="s">
        <v>76</v>
      </c>
      <c r="J1" s="69"/>
      <c r="L1" s="70" t="s">
        <v>82</v>
      </c>
      <c r="M1" s="71" t="s">
        <v>83</v>
      </c>
      <c r="N1" s="72" t="s">
        <v>84</v>
      </c>
    </row>
    <row r="2" spans="1:14">
      <c r="A2">
        <f>[0]!StudentID</f>
        <v>0</v>
      </c>
      <c r="B2" t="str">
        <f>[0]!FirstName &amp; " " &amp; [0]!FamilyName</f>
        <v xml:space="preserve"> </v>
      </c>
      <c r="C2" s="69" t="s">
        <v>77</v>
      </c>
      <c r="D2" s="69">
        <v>1</v>
      </c>
    </row>
    <row r="3" spans="1:14">
      <c r="A3">
        <f>[0]!StudentID</f>
        <v>0</v>
      </c>
      <c r="B3" t="str">
        <f>[0]!FirstName &amp; " " &amp; [0]!FamilyName</f>
        <v xml:space="preserve"> </v>
      </c>
      <c r="C3" s="69" t="s">
        <v>77</v>
      </c>
      <c r="D3" s="69">
        <v>2</v>
      </c>
      <c r="E3" s="102" t="str">
        <f>IFERROR( INDEX(VALUE([0]!Monday2), MATCH("YES", [0]!Monday2_Y, 0), 2), "")</f>
        <v/>
      </c>
      <c r="F3" t="str">
        <f>IF(N3=1, "", INDEX(Monday2, M3+1, 3))</f>
        <v/>
      </c>
      <c r="G3" t="str">
        <f>IF($N3=1, "", IF(INDEX(Monday2, $M3+1, 4)="", INDEX(Monday2, $M3, 4), INDEX(Monday2, $M3+1, 4)))</f>
        <v/>
      </c>
      <c r="H3" t="str">
        <f>IF($N3=1, "", INDEX(Monday2, $M3, 1))</f>
        <v/>
      </c>
      <c r="I3" t="str">
        <f>IF($N3=1, "", IF(INDEX(Monday2, $M3+1, 5)="", INDEX(Monday2, $M3, 5), INDEX(Monday2, $M3+1, 5)))</f>
        <v/>
      </c>
      <c r="L3">
        <f>COUNTIF(Monday2_Y, "YES")</f>
        <v>0</v>
      </c>
      <c r="M3" t="str">
        <f>IF(L3&gt;=1, MATCH("Yes", Monday2_Y, 0), "")</f>
        <v/>
      </c>
      <c r="N3">
        <f>IF(L3&lt;&gt;1, 1, 0)</f>
        <v>1</v>
      </c>
    </row>
    <row r="4" spans="1:14">
      <c r="A4">
        <f>[0]!StudentID</f>
        <v>0</v>
      </c>
      <c r="B4" t="str">
        <f>[0]!FirstName &amp; " " &amp; [0]!FamilyName</f>
        <v xml:space="preserve"> </v>
      </c>
      <c r="C4" s="69" t="s">
        <v>77</v>
      </c>
      <c r="D4" s="69">
        <v>3</v>
      </c>
      <c r="E4" s="102" t="str">
        <f>IFERROR( INDEX(VALUE([0]!Monday3), MATCH("YES", [0]!Monday3_Y, 0), 2), "")</f>
        <v/>
      </c>
      <c r="F4" t="str">
        <f>IF(N4=1, "", INDEX(Monday3, M4+1, 3))</f>
        <v/>
      </c>
      <c r="G4" t="str">
        <f>IF($N4=1, "", IF(INDEX(Monday3, $M4+1, 4)="", INDEX(Monday3, $M4, 4), INDEX(Monday3, $M4+1, 4)))</f>
        <v/>
      </c>
      <c r="H4" t="str">
        <f>IF($N4=1, "", INDEX(Monday3, $M4, 1))</f>
        <v/>
      </c>
      <c r="I4" t="str">
        <f>IF($N4=1, "", IF(INDEX(Monday3, $M4+1, 5)="", INDEX(Monday3, $M4, 5), INDEX(Monday3, $M4+1, 5)))</f>
        <v/>
      </c>
      <c r="L4">
        <f>COUNTIF(Monday3_Y, "YES")</f>
        <v>0</v>
      </c>
      <c r="M4" t="str">
        <f>IF(L4&gt;=1, MATCH("Yes", Monday3_Y, 0), "")</f>
        <v/>
      </c>
      <c r="N4">
        <f t="shared" ref="N4:N5" si="0">IF(L4&lt;&gt;1, 1, 0)</f>
        <v>1</v>
      </c>
    </row>
    <row r="5" spans="1:14">
      <c r="A5">
        <f>[0]!StudentID</f>
        <v>0</v>
      </c>
      <c r="B5" t="str">
        <f>[0]!FirstName &amp; " " &amp; [0]!FamilyName</f>
        <v xml:space="preserve"> </v>
      </c>
      <c r="C5" s="69" t="s">
        <v>77</v>
      </c>
      <c r="D5" s="69">
        <v>4</v>
      </c>
      <c r="E5" s="102" t="str">
        <f>IFERROR( INDEX(VALUE([0]!Monday4), MATCH("YES", [0]!Monday4_Y, 0), 2), "")</f>
        <v/>
      </c>
      <c r="F5" t="str">
        <f>IF(N5=1, "", INDEX(Monday4, M5+1, 3))</f>
        <v/>
      </c>
      <c r="G5" t="str">
        <f>IF($N5=1, "", IF(INDEX(Monday4, $M5+1, 4)="", INDEX(Monday4, $M5, 4), INDEX(Monday4, $M5+1, 4)))</f>
        <v/>
      </c>
      <c r="H5" t="str">
        <f>IF($N5=1, "", INDEX(Monday4, $M5, 1))</f>
        <v/>
      </c>
      <c r="I5" t="str">
        <f>IF($N5=1, "", IF(INDEX(Monday4, $M5+1, 5)="", INDEX(Monday4, $M5, 5), INDEX(Monday4, $M5+1, 5)))</f>
        <v/>
      </c>
      <c r="L5">
        <f>COUNTIF(Monday4_Y, "YES")</f>
        <v>0</v>
      </c>
      <c r="M5" t="str">
        <f>IF(L5&gt;=1, MATCH("Yes", Monday4_Y, 0), "")</f>
        <v/>
      </c>
      <c r="N5">
        <f t="shared" si="0"/>
        <v>1</v>
      </c>
    </row>
    <row r="6" spans="1:14">
      <c r="A6">
        <f>[0]!StudentID</f>
        <v>0</v>
      </c>
      <c r="B6" t="str">
        <f>[0]!FirstName &amp; " " &amp; [0]!FamilyName</f>
        <v xml:space="preserve"> </v>
      </c>
      <c r="C6" s="69" t="s">
        <v>77</v>
      </c>
      <c r="D6" s="69">
        <v>5</v>
      </c>
      <c r="E6" s="102" t="str">
        <f>IFERROR( INDEX(VALUE([0]!Monday5), MATCH("YES", [0]!Monday5_Y, 0), 2), "")</f>
        <v/>
      </c>
      <c r="F6" t="str">
        <f>IF(N6=1, "", INDEX(Monday5, M6+1, 3))</f>
        <v/>
      </c>
      <c r="G6" t="str">
        <f>IF($N6=1, "", IF(INDEX(Monday5, $M6+1, 4)="", INDEX(Monday5, $M6, 4), INDEX(Monday5, $M6+1, 4)))</f>
        <v/>
      </c>
      <c r="H6" t="str">
        <f>IF($N6=1, "", INDEX(Monday5, $M6, 1))</f>
        <v/>
      </c>
      <c r="I6" t="str">
        <f>IF($N6=1, "", IF(INDEX(Monday5, $M6+1, 5)="", INDEX(Monday5, $M6, 5), INDEX(Monday5, $M6+1, 5)))</f>
        <v/>
      </c>
      <c r="L6">
        <f>COUNTIF(Monday5_Y, "YES")</f>
        <v>0</v>
      </c>
      <c r="M6" t="str">
        <f>IF(L6&gt;=1, MATCH("Yes", Monday5_Y, 0), "")</f>
        <v/>
      </c>
      <c r="N6">
        <f t="shared" ref="N6" si="1">IF(L6&lt;&gt;1, 1, 0)</f>
        <v>1</v>
      </c>
    </row>
    <row r="7" spans="1:14">
      <c r="A7">
        <f>[0]!StudentID</f>
        <v>0</v>
      </c>
      <c r="B7" t="str">
        <f>[0]!FirstName &amp; " " &amp; [0]!FamilyName</f>
        <v xml:space="preserve"> </v>
      </c>
      <c r="C7" s="69" t="s">
        <v>78</v>
      </c>
      <c r="D7" s="69">
        <v>1</v>
      </c>
      <c r="E7" s="220" t="str">
        <f>IFERROR( INDEX(VALUE([0]!Tuesday1), MATCH("YES", [0]!Tuesday1_Y, 0), 2), "")</f>
        <v/>
      </c>
      <c r="F7" t="str">
        <f>IF(N7=1, "", INDEX(Tuesday1, M7+1, 3))</f>
        <v/>
      </c>
      <c r="G7" t="str">
        <f>IF($N7=1, "", IF(INDEX(Tuesday1, $M7+1, 4)="", INDEX(Tuesday1, $M7, 4), INDEX(Tuesday1, $M7+1, 4)))</f>
        <v/>
      </c>
      <c r="H7" t="str">
        <f>IF($N7=1, "", INDEX(Tuesday1, $M7, 1))</f>
        <v/>
      </c>
      <c r="I7" t="str">
        <f>IF($N7=1, "", IF(INDEX(Tuesday1, $M7+1, 5)="", INDEX(Tuesday1, $M7, 5), INDEX(Tuesday1, $M7+1, 5)))</f>
        <v/>
      </c>
      <c r="L7">
        <f>COUNTIF(Tuesday1_Y, "YES")</f>
        <v>0</v>
      </c>
      <c r="M7" t="str">
        <f>IF(L7&gt;=1, MATCH("Yes", Tuesday1_Y, 0), "")</f>
        <v/>
      </c>
      <c r="N7">
        <f>IF(L7&lt;&gt;1, 1, 0)</f>
        <v>1</v>
      </c>
    </row>
    <row r="8" spans="1:14">
      <c r="A8">
        <f>[0]!StudentID</f>
        <v>0</v>
      </c>
      <c r="B8" t="str">
        <f>[0]!FirstName &amp; " " &amp; [0]!FamilyName</f>
        <v xml:space="preserve"> </v>
      </c>
      <c r="C8" s="69" t="s">
        <v>78</v>
      </c>
      <c r="D8" s="69">
        <v>2</v>
      </c>
      <c r="E8" s="102" t="str">
        <f>IFERROR( INDEX(VALUE([0]!Tuesday2), MATCH("YES", [0]!Tuesday2_Y, 0), 2), "")</f>
        <v/>
      </c>
      <c r="F8" t="str">
        <f>IF(N8=1, "", INDEX(Tuesday2, M8+1, 3))</f>
        <v/>
      </c>
      <c r="G8" t="str">
        <f>IF($N8=1, "", IF(INDEX(Tuesday2, $M8+1, 4)="", INDEX(Tuesday2, $M8, 4), INDEX(Tuesday2, $M8+1, 4)))</f>
        <v/>
      </c>
      <c r="H8" t="str">
        <f>IF($N8=1, "", INDEX(Tuesday2, $M8, 1))</f>
        <v/>
      </c>
      <c r="I8" t="str">
        <f>IF($N8=1, "", IF(INDEX(Tuesday2, $M8+1, 5)="", INDEX(Tuesday2, $M8, 5), INDEX(Tuesday2, $M8+1, 5)))</f>
        <v/>
      </c>
      <c r="L8">
        <f>COUNTIF(Tuesday2_Y, "YES")</f>
        <v>0</v>
      </c>
      <c r="M8" t="str">
        <f>IF(L8&gt;=1, MATCH("Yes", Tuesday2_Y, 0), "")</f>
        <v/>
      </c>
      <c r="N8">
        <f>IF(L8&lt;&gt;1, 1, 0)</f>
        <v>1</v>
      </c>
    </row>
    <row r="9" spans="1:14">
      <c r="A9">
        <f>[0]!StudentID</f>
        <v>0</v>
      </c>
      <c r="B9" t="str">
        <f>[0]!FirstName &amp; " " &amp; [0]!FamilyName</f>
        <v xml:space="preserve"> </v>
      </c>
      <c r="C9" s="69" t="s">
        <v>78</v>
      </c>
      <c r="D9" s="69">
        <v>3</v>
      </c>
      <c r="E9" s="102" t="str">
        <f>IFERROR( INDEX(VALUE([0]!Tuesday3), MATCH("YES", [0]!Tuesday3_Y, 0), 2), "")</f>
        <v/>
      </c>
      <c r="F9" t="str">
        <f>IF(N9=1, "", INDEX(Tuesday3, M9+1, 3))</f>
        <v/>
      </c>
      <c r="G9" t="str">
        <f>IF($N9=1, "", IF(INDEX(Tuesday3, $M9+1, 4)="", INDEX(Tuesday3, $M9, 4), INDEX(Tuesday3, $M9+1, 4)))</f>
        <v/>
      </c>
      <c r="H9" t="str">
        <f>IF($N9=1, "", INDEX(Tuesday3, $M9, 1))</f>
        <v/>
      </c>
      <c r="I9" t="str">
        <f>IF($N9=1, "", IF(INDEX(Tuesday3, $M9+1, 5)="", INDEX(Tuesday3, $M9, 5), INDEX(Tuesday3, $M9+1, 5)))</f>
        <v/>
      </c>
      <c r="L9">
        <f>COUNTIF(Tuesday3_Y, "YES")</f>
        <v>0</v>
      </c>
      <c r="M9" t="str">
        <f>IF(L9&gt;=1, MATCH("Yes",Tuesday3_Y, 0), "")</f>
        <v/>
      </c>
      <c r="N9">
        <f>IF(L9&lt;&gt;1, 1, 0)</f>
        <v>1</v>
      </c>
    </row>
    <row r="10" spans="1:14">
      <c r="A10">
        <f>[0]!StudentID</f>
        <v>0</v>
      </c>
      <c r="B10" t="str">
        <f>[0]!FirstName &amp; " " &amp; [0]!FamilyName</f>
        <v xml:space="preserve"> </v>
      </c>
      <c r="C10" s="69" t="s">
        <v>78</v>
      </c>
      <c r="D10" s="69">
        <v>4</v>
      </c>
      <c r="E10" s="102" t="str">
        <f>IFERROR( INDEX(VALUE([0]!Tuesday4), MATCH("YES", [0]!Tuesday4_Y, 0), 2), "")</f>
        <v/>
      </c>
      <c r="F10" t="str">
        <f>IF(N10=1, "", INDEX(Tuesday4, M10+1, 3))</f>
        <v/>
      </c>
      <c r="G10" t="str">
        <f>IF($N10=1, "", IF(INDEX(Tuesday4, $M10+1, 4)="", INDEX(Tuesday4, $M10, 4), INDEX(Tuesday4, $M10+1, 4)))</f>
        <v/>
      </c>
      <c r="H10" t="str">
        <f>IF($N10=1, "", INDEX(Tuesday4, $M10, 1))</f>
        <v/>
      </c>
      <c r="I10" t="str">
        <f>IF($N10=1, "", IF(INDEX(Tuesday4, $M10+1, 5)="", INDEX(Tuesday4, $M10, 5), INDEX(Tuesday4, $M10+1, 5)))</f>
        <v/>
      </c>
      <c r="L10">
        <f>COUNTIF(Tuesday4_Y, "YES")</f>
        <v>0</v>
      </c>
      <c r="M10" t="str">
        <f>IF(L10&gt;=1, MATCH("Yes", Tuesday4_Y, 0), "")</f>
        <v/>
      </c>
      <c r="N10">
        <f>IF(L10&lt;&gt;1, 1, 0)</f>
        <v>1</v>
      </c>
    </row>
    <row r="11" spans="1:14">
      <c r="A11">
        <f>[0]!StudentID</f>
        <v>0</v>
      </c>
      <c r="B11" t="str">
        <f>[0]!FirstName &amp; " " &amp; [0]!FamilyName</f>
        <v xml:space="preserve"> </v>
      </c>
      <c r="C11" s="69" t="s">
        <v>78</v>
      </c>
      <c r="D11">
        <v>5</v>
      </c>
      <c r="E11" s="102"/>
    </row>
    <row r="12" spans="1:14">
      <c r="A12">
        <f>[0]!StudentID</f>
        <v>0</v>
      </c>
      <c r="B12" t="str">
        <f>[0]!FirstName &amp; " " &amp; [0]!FamilyName</f>
        <v xml:space="preserve"> </v>
      </c>
      <c r="C12" s="69" t="s">
        <v>79</v>
      </c>
      <c r="D12" s="69">
        <v>1</v>
      </c>
      <c r="E12" s="102" t="str">
        <f>IFERROR( INDEX(VALUE([0]!Wednesday1), MATCH("YES", [0]!Wednesday1_Y, 0), 2), "")</f>
        <v/>
      </c>
      <c r="F12" t="str">
        <f>IF(N12=1, "", INDEX(Wednesday1, M12+1, 3))</f>
        <v/>
      </c>
      <c r="G12" t="str">
        <f>IF($N12=1, "", IF(INDEX(Wednesday1, $M12+1, 4)="", INDEX(Wednesday1, $M12, 4), INDEX(Wednesday1, $M12+1, 4)))</f>
        <v/>
      </c>
      <c r="H12" t="str">
        <f>IF($N12=1, "", INDEX(Wednesday1, $M12, 1))</f>
        <v/>
      </c>
      <c r="I12" t="str">
        <f>IF($N12=1, "", IF(INDEX(Wednesday1, $M12+1, 5)="", INDEX(Wednesday1, $M12, 5), INDEX(Wednesday1, $M12+1, 5)))</f>
        <v/>
      </c>
      <c r="L12">
        <f>COUNTIF(Wednesday1_Y, "YES")</f>
        <v>0</v>
      </c>
      <c r="M12" t="str">
        <f>IF(L12&gt;=1, MATCH("Yes", Wednesday1_Y, 0), "")</f>
        <v/>
      </c>
      <c r="N12">
        <f>IF(L12&lt;&gt;1, 1, 0)</f>
        <v>1</v>
      </c>
    </row>
    <row r="13" spans="1:14">
      <c r="A13">
        <f>[0]!StudentID</f>
        <v>0</v>
      </c>
      <c r="B13" t="str">
        <f>[0]!FirstName &amp; " " &amp; [0]!FamilyName</f>
        <v xml:space="preserve"> </v>
      </c>
      <c r="C13" s="69" t="s">
        <v>79</v>
      </c>
      <c r="D13" s="69">
        <v>2</v>
      </c>
      <c r="E13" s="102" t="str">
        <f>IFERROR( INDEX(VALUE([0]!Wednesday2), MATCH("YES", [0]!Wednesday2_Y, 0), 2), "")</f>
        <v/>
      </c>
      <c r="F13" t="str">
        <f>IF(N13=1, "", INDEX(Wednesday2, M13+1, 3))</f>
        <v/>
      </c>
      <c r="G13" t="str">
        <f>IF($N13=1, "", IF(INDEX(Wednesday2, $M13+1, 4)="", INDEX(Wednesday2, $M13, 4), INDEX(Wednesday2, $M13+1, 4)))</f>
        <v/>
      </c>
      <c r="H13" t="str">
        <f>IF($N13=1, "", INDEX(Wednesday2, $M13, 1))</f>
        <v/>
      </c>
      <c r="I13" t="str">
        <f>IF($N13=1, "", IF(INDEX(Wednesday2, $M13+1, 5)="", INDEX(Wednesday2, $M13, 5), INDEX(Wednesday2, $M13+1, 5)))</f>
        <v/>
      </c>
      <c r="L13">
        <f>COUNTIF(Wednesday2_Y, "YES")</f>
        <v>0</v>
      </c>
      <c r="M13" t="str">
        <f>IF(L13&gt;=1, MATCH("Yes", Wednesday2_Y, 0), "")</f>
        <v/>
      </c>
      <c r="N13">
        <f>IF(L13&lt;&gt;1, 1, 0)</f>
        <v>1</v>
      </c>
    </row>
    <row r="14" spans="1:14">
      <c r="A14">
        <f>[0]!StudentID</f>
        <v>0</v>
      </c>
      <c r="B14" t="str">
        <f>[0]!FirstName &amp; " " &amp; [0]!FamilyName</f>
        <v xml:space="preserve"> </v>
      </c>
      <c r="C14" s="69" t="s">
        <v>79</v>
      </c>
      <c r="D14" s="69">
        <v>3</v>
      </c>
      <c r="E14" s="102" t="str">
        <f>IFERROR( INDEX(VALUE([0]!Wednesday3), MATCH("YES", [0]!Wednesday3_Y, 0), 2), "")</f>
        <v/>
      </c>
      <c r="F14" t="str">
        <f>IF(N14=1, "", INDEX(Wednesday3, M14+1, 3))</f>
        <v/>
      </c>
      <c r="G14" t="str">
        <f>IF($N14=1, "", IF(INDEX(Wednesday3, $M14+1, 4)="", INDEX(Wednesday3, $M14, 4), INDEX(Wednesday3, $M14+1, 4)))</f>
        <v/>
      </c>
      <c r="H14" t="str">
        <f>IF($N14=1, "", INDEX(Wednesday3, $M14, 1))</f>
        <v/>
      </c>
      <c r="I14" t="str">
        <f>IF($N14=1, "", IF(INDEX(Wednesday3, $M14+1, 5)="", INDEX(Wednesday3, $M14, 5), INDEX(Wednesday3, $M14+1, 5)))</f>
        <v/>
      </c>
      <c r="L14">
        <f>COUNTIF(Wednesday3_Y, "YES")</f>
        <v>0</v>
      </c>
      <c r="M14" t="str">
        <f>IF(L14&gt;=1, MATCH("Yes", Wednesday3_Y, 0), "")</f>
        <v/>
      </c>
      <c r="N14">
        <f>IF(L14&lt;&gt;1, 1, 0)</f>
        <v>1</v>
      </c>
    </row>
    <row r="15" spans="1:14">
      <c r="A15">
        <f>[0]!StudentID</f>
        <v>0</v>
      </c>
      <c r="B15" t="str">
        <f>[0]!FirstName &amp; " " &amp; [0]!FamilyName</f>
        <v xml:space="preserve"> </v>
      </c>
      <c r="C15" s="69" t="s">
        <v>79</v>
      </c>
      <c r="D15" s="69">
        <v>4</v>
      </c>
      <c r="E15" s="102" t="str">
        <f>IFERROR( INDEX(VALUE([0]!Wednesday4), MATCH("YES", [0]!Wednesday4_Y, 0), 2), "")</f>
        <v/>
      </c>
      <c r="F15" t="str">
        <f>IF(N15=1, "", INDEX(Wednesday4, M15+1, 3))</f>
        <v/>
      </c>
      <c r="G15" t="str">
        <f>IF($N15=1, "", IF(INDEX(Wednesday4, $M15+1, 4)="", INDEX(Wednesday4, $M15, 4), INDEX(Wednesday4, $M15+1, 4)))</f>
        <v/>
      </c>
      <c r="H15" t="str">
        <f>IF($N15=1, "", INDEX(Wednesday4, $M15, 1))</f>
        <v/>
      </c>
      <c r="I15" t="str">
        <f>IF($N15=1, "", IF(INDEX(Wednesday4, $M15+1, 5)="", INDEX(Wednesday4, $M15, 5), INDEX(Wednesday4, $M15+1, 5)))</f>
        <v/>
      </c>
      <c r="L15">
        <f>COUNTIF(Wednesday4_Y, "YES")</f>
        <v>0</v>
      </c>
      <c r="M15" t="str">
        <f>IF(L15&gt;=1, MATCH("Yes", Wednesday4_Y, 0), "")</f>
        <v/>
      </c>
      <c r="N15">
        <f>IF(L15&lt;&gt;1, 1, 0)</f>
        <v>1</v>
      </c>
    </row>
    <row r="16" spans="1:14">
      <c r="A16">
        <f>[0]!StudentID</f>
        <v>0</v>
      </c>
      <c r="B16" t="str">
        <f>[0]!FirstName &amp; " " &amp; [0]!FamilyName</f>
        <v xml:space="preserve"> </v>
      </c>
      <c r="C16" s="69" t="s">
        <v>79</v>
      </c>
      <c r="D16" s="69">
        <v>5</v>
      </c>
      <c r="E16" s="102" t="str">
        <f>IFERROR( INDEX(VALUE([0]!Wednesday5), MATCH("YES", [0]!Wednesday5_Y, 0), 2), "")</f>
        <v/>
      </c>
    </row>
    <row r="17" spans="1:14">
      <c r="A17">
        <f>[0]!StudentID</f>
        <v>0</v>
      </c>
      <c r="B17" t="str">
        <f>[0]!FirstName &amp; " " &amp; [0]!FamilyName</f>
        <v xml:space="preserve"> </v>
      </c>
      <c r="C17" s="69" t="s">
        <v>80</v>
      </c>
      <c r="D17" s="69">
        <v>1</v>
      </c>
      <c r="E17" s="102" t="str">
        <f>IFERROR( INDEX(VALUE([0]!Thursday1), MATCH("YES", [0]!Thursday1_Y, 0), 2), "")</f>
        <v/>
      </c>
      <c r="F17" t="str">
        <f>IF(N17=1, "", INDEX(Thursday1, M17+1, 3))</f>
        <v/>
      </c>
      <c r="G17" t="str">
        <f>IF($N17=1, "", IF(INDEX(Tuesday1, $M17+1, 4)="", INDEX(Tuesday1, $M17, 4), INDEX(Tuesday1, $M17+1, 4)))</f>
        <v/>
      </c>
      <c r="H17" t="str">
        <f>IF($N17=1, "", INDEX(Thursday1, $M17, 1))</f>
        <v/>
      </c>
      <c r="I17" t="str">
        <f>IF($N17=1, "", IF(INDEX(Thursday1, $M17+1, 5)="", INDEX(Thursday1, $M17, 5), INDEX(Thursday1, $M17+1, 5)))</f>
        <v/>
      </c>
      <c r="L17">
        <f>COUNTIF(Thursday1_Y, "YES")</f>
        <v>0</v>
      </c>
      <c r="M17" t="str">
        <f>IF(L17&gt;=1, MATCH("Yes", Thursday1_Y, 0), "")</f>
        <v/>
      </c>
      <c r="N17">
        <f>IF(L17&lt;&gt;1, 1, 0)</f>
        <v>1</v>
      </c>
    </row>
    <row r="18" spans="1:14">
      <c r="A18">
        <f>[0]!StudentID</f>
        <v>0</v>
      </c>
      <c r="B18" t="str">
        <f>[0]!FirstName &amp; " " &amp; [0]!FamilyName</f>
        <v xml:space="preserve"> </v>
      </c>
      <c r="C18" s="69" t="s">
        <v>80</v>
      </c>
      <c r="D18" s="69">
        <v>2</v>
      </c>
      <c r="E18" s="102" t="str">
        <f>IFERROR( INDEX(VALUE([0]!Thursday2), MATCH("YES", [0]!Thursday2_Y, 0), 2), "")</f>
        <v/>
      </c>
      <c r="F18" t="str">
        <f>IF(N18=1, "", INDEX(Thursday2, M18+1, 3))</f>
        <v/>
      </c>
      <c r="G18" t="str">
        <f>IF($N18=1, "", IF(INDEX(Tuesday2, $M18+1, 4)="", INDEX(Tuesday2, $M18, 4), INDEX(Tuesday2, $M18+1, 4)))</f>
        <v/>
      </c>
      <c r="H18" t="str">
        <f>IF($N18=1, "", INDEX(Thursday2, $M18, 1))</f>
        <v/>
      </c>
      <c r="I18" t="str">
        <f>IF($N18=1, "", IF(INDEX(Thursday2, $M18+1, 5)="", INDEX(Thursday2, $M18, 5), INDEX(Thursday2, $M18+1, 5)))</f>
        <v/>
      </c>
      <c r="L18">
        <f>COUNTIF(Thursday2_Y, "YES")</f>
        <v>0</v>
      </c>
      <c r="M18" t="str">
        <f>IF(L18&gt;=1, MATCH("Yes", Thursday2_Y, 0), "")</f>
        <v/>
      </c>
      <c r="N18">
        <f>IF(L18&lt;&gt;1, 1, 0)</f>
        <v>1</v>
      </c>
    </row>
    <row r="19" spans="1:14">
      <c r="A19">
        <f>[0]!StudentID</f>
        <v>0</v>
      </c>
      <c r="B19" t="str">
        <f>[0]!FirstName &amp; " " &amp; [0]!FamilyName</f>
        <v xml:space="preserve"> </v>
      </c>
      <c r="C19" s="69" t="s">
        <v>80</v>
      </c>
      <c r="D19" s="69">
        <v>3</v>
      </c>
      <c r="E19" s="102" t="str">
        <f>IFERROR( INDEX(VALUE([0]!Thursday3), MATCH("YES", [0]!Thursday3_Y, 0), 2), "")</f>
        <v/>
      </c>
      <c r="F19" t="str">
        <f>IF(N19=1, "", INDEX(Thursday3, M19+1, 3))</f>
        <v/>
      </c>
      <c r="G19" t="str">
        <f>IF($N19=1, "", IF(INDEX(Tuesday3, $M19+1, 4)="", INDEX(Tuesday3, $M19, 4), INDEX(Tuesday3, $M19+1, 4)))</f>
        <v/>
      </c>
      <c r="H19" t="str">
        <f>IF($N19=1, "", INDEX(Thursday3, $M19, 1))</f>
        <v/>
      </c>
      <c r="I19" t="str">
        <f>IF($N19=1, "", IF(INDEX(Thursday3, $M19+1, 5)="", INDEX(Thursday3, $M19, 5), INDEX(Thursday3, $M19+1, 5)))</f>
        <v/>
      </c>
      <c r="L19">
        <f>COUNTIF(Thursday3_Y, "YES")</f>
        <v>0</v>
      </c>
      <c r="M19" t="str">
        <f>IF(L19&gt;=1, MATCH("Yes", Thursday3_Y, 0), "")</f>
        <v/>
      </c>
      <c r="N19">
        <f>IF(L19&lt;&gt;1, 1, 0)</f>
        <v>1</v>
      </c>
    </row>
    <row r="20" spans="1:14">
      <c r="A20">
        <f>[0]!StudentID</f>
        <v>0</v>
      </c>
      <c r="B20" t="str">
        <f>[0]!FirstName &amp; " " &amp; [0]!FamilyName</f>
        <v xml:space="preserve"> </v>
      </c>
      <c r="C20" s="69" t="s">
        <v>80</v>
      </c>
      <c r="D20" s="69">
        <v>4</v>
      </c>
      <c r="E20" s="102" t="str">
        <f>IFERROR( INDEX(VALUE([0]!Thursday4), MATCH("YES", [0]!Thursday4_Y, 0), 2), "")</f>
        <v/>
      </c>
      <c r="F20" t="str">
        <f>IF(N20=1, "", INDEX(Thursday4, M20+1, 3))</f>
        <v/>
      </c>
      <c r="G20" t="str">
        <f>IF($N20=1, "", IF(INDEX(Tuesday4, $M20+1, 4)="", INDEX(Tuesday4, $M20, 4), INDEX(Tuesday4, $M20+1, 4)))</f>
        <v/>
      </c>
      <c r="H20" t="str">
        <f>IF($N20=1, "", INDEX(Thursday4, $M20, 1))</f>
        <v/>
      </c>
      <c r="I20" t="str">
        <f>IF($N20=1, "", IF(INDEX(Thursday4, $M20+1, 5)="", INDEX(Thursday4, $M20, 5), INDEX(Thursday4, $M20+1, 5)))</f>
        <v/>
      </c>
      <c r="L20">
        <f>COUNTIF(Thursday4_Y, "YES")</f>
        <v>0</v>
      </c>
      <c r="M20" t="str">
        <f>IF(L20&gt;=1, MATCH("Yes", Thursday4_Y, 0), "")</f>
        <v/>
      </c>
      <c r="N20">
        <f>IF(L20&lt;&gt;1, 1, 0)</f>
        <v>1</v>
      </c>
    </row>
    <row r="21" spans="1:14">
      <c r="A21">
        <f>[0]!StudentID</f>
        <v>0</v>
      </c>
      <c r="B21" t="str">
        <f>[0]!FirstName &amp; " " &amp; [0]!FamilyName</f>
        <v xml:space="preserve"> </v>
      </c>
      <c r="C21" s="69" t="s">
        <v>80</v>
      </c>
      <c r="D21">
        <v>5</v>
      </c>
      <c r="E21" s="102" t="str">
        <f>IFERROR( INDEX(VALUE([0]!Thursday5), MATCH("YES", [0]!Thursday5_Y, 0), 2), "")</f>
        <v/>
      </c>
      <c r="F21" t="str">
        <f>IF(N21=1, "", INDEX(Thursday5, M21+1, 3))</f>
        <v/>
      </c>
      <c r="G21" t="str">
        <f>IF($N21=1, "", IF(INDEX(Tuesday5, $M21+1, 4)="", INDEX(Tuesday5, $M21, 4), INDEX(Tuesday5, $M21+1, 4)))</f>
        <v/>
      </c>
      <c r="H21" t="str">
        <f>IF($N21=1, "", INDEX(Thursday5, $M21, 1))</f>
        <v/>
      </c>
      <c r="I21" t="str">
        <f>IF($N21=1, "", IF(INDEX(Thursday5, $M21+1, 5)="", INDEX(Thursday5, $M21, 5), INDEX(Thursday5, $M21+1, 5)))</f>
        <v/>
      </c>
      <c r="L21">
        <f>COUNTIF(Thursday5_Y, "YES")</f>
        <v>0</v>
      </c>
      <c r="M21" t="str">
        <f>IF(L21&gt;=1, MATCH("Yes", Thursday5_Y, 0), "")</f>
        <v/>
      </c>
      <c r="N21">
        <f>IF(L21&lt;&gt;1, 1, 0)</f>
        <v>1</v>
      </c>
    </row>
    <row r="22" spans="1:14">
      <c r="A22">
        <f>[0]!StudentID</f>
        <v>0</v>
      </c>
      <c r="B22" t="str">
        <f>[0]!FirstName &amp; " " &amp; [0]!FamilyName</f>
        <v xml:space="preserve"> </v>
      </c>
      <c r="C22" s="69" t="s">
        <v>81</v>
      </c>
      <c r="D22" s="69">
        <v>1</v>
      </c>
      <c r="E22" s="102"/>
    </row>
    <row r="23" spans="1:14">
      <c r="A23">
        <f>[0]!StudentID</f>
        <v>0</v>
      </c>
      <c r="B23" t="str">
        <f>[0]!FirstName &amp; " " &amp; [0]!FamilyName</f>
        <v xml:space="preserve"> </v>
      </c>
      <c r="C23" s="69" t="s">
        <v>81</v>
      </c>
      <c r="D23" s="69">
        <v>2</v>
      </c>
      <c r="E23" s="102" t="str">
        <f>IFERROR( INDEX(VALUE([0]!Friday2), MATCH("YES", [0]!Friday2_Y, 0), 2), "")</f>
        <v/>
      </c>
      <c r="F23" t="str">
        <f>IF(N23=1, "", INDEX(Friday2, M23+1, 3))</f>
        <v/>
      </c>
      <c r="G23" t="str">
        <f>IF($N23=1, "", IF(INDEX(Friday2, $M23+1, 4)="", INDEX(Friday2, $M23, 4), INDEX(Friday2, $M23+1, 4)))</f>
        <v/>
      </c>
      <c r="H23" t="str">
        <f>IF($N23=1, "", INDEX(Friday2, $M23, 1))</f>
        <v/>
      </c>
      <c r="I23" t="str">
        <f>IF($N23=1, "", IF(INDEX(Friday2, $M23+1, 5)="", INDEX(Friday2, $M23, 5), INDEX(Friday2, $M23+1, 5)))</f>
        <v/>
      </c>
      <c r="L23">
        <f>COUNTIF(Friday2_Y, "YES")</f>
        <v>0</v>
      </c>
      <c r="M23" t="str">
        <f>IF(L23&gt;=1, MATCH("Yes", Friday2_Y, 0), "")</f>
        <v/>
      </c>
      <c r="N23">
        <f>IF(L23&lt;&gt;1, 1, 0)</f>
        <v>1</v>
      </c>
    </row>
    <row r="24" spans="1:14">
      <c r="A24">
        <f>[0]!StudentID</f>
        <v>0</v>
      </c>
      <c r="B24" t="str">
        <f>[0]!FirstName &amp; " " &amp; [0]!FamilyName</f>
        <v xml:space="preserve"> </v>
      </c>
      <c r="C24" s="69" t="s">
        <v>81</v>
      </c>
      <c r="D24" s="69">
        <v>3</v>
      </c>
      <c r="E24" s="102"/>
    </row>
    <row r="25" spans="1:14">
      <c r="A25">
        <f>[0]!StudentID</f>
        <v>0</v>
      </c>
      <c r="B25" t="str">
        <f>[0]!FirstName &amp; " " &amp; [0]!FamilyName</f>
        <v xml:space="preserve"> </v>
      </c>
      <c r="C25" s="69" t="s">
        <v>81</v>
      </c>
      <c r="D25" s="69">
        <v>4</v>
      </c>
      <c r="E25" s="102" t="str">
        <f>IFERROR( INDEX(VALUE([0]!Friday4), MATCH("YES", [0]!Friday4_Y, 0), 2), "")</f>
        <v/>
      </c>
      <c r="F25" t="str">
        <f>IF(N25=1, "", INDEX(Friday4, M25+1, 3))</f>
        <v/>
      </c>
      <c r="G25" t="str">
        <f>IF($N25=1, "", IF(INDEX(Friday4, $M25+1, 4)="", INDEX(Friday4, $M25, 4), INDEX(Friday4, $M25+1, 4)))</f>
        <v/>
      </c>
      <c r="H25" t="str">
        <f>IF($N25=1, "", INDEX(Friday4, $M25, 1))</f>
        <v/>
      </c>
      <c r="I25" t="str">
        <f>IF($N25=1, "", IF(INDEX(Friday4, $M25+1, 5)="", INDEX(Friday4, $M25, 5), INDEX(Friday4, $M25+1, 5)))</f>
        <v/>
      </c>
      <c r="L25">
        <f>COUNTIF(Friday4_Y, "YES")</f>
        <v>0</v>
      </c>
      <c r="M25" t="str">
        <f>IF(L25&gt;=1, MATCH("Yes", Friday4_Y, 0), "")</f>
        <v/>
      </c>
      <c r="N25">
        <f>IF(L25&lt;&gt;1, 1, 0)</f>
        <v>1</v>
      </c>
    </row>
    <row r="26" spans="1:14">
      <c r="A26">
        <f>[0]!StudentID</f>
        <v>0</v>
      </c>
      <c r="B26" t="str">
        <f>[0]!FirstName &amp; " " &amp; [0]!FamilyName</f>
        <v xml:space="preserve"> </v>
      </c>
      <c r="C26" s="69" t="s">
        <v>81</v>
      </c>
      <c r="D26" s="69">
        <v>5</v>
      </c>
      <c r="E26" s="102" t="str">
        <f>IFERROR( INDEX(VALUE([0]!Friday5), MATCH("YES", [0]!Friday5_Y, 0), 2), "")</f>
        <v/>
      </c>
      <c r="F26" t="str">
        <f>IF(N26=1, "", INDEX(Friday5, M26+1, 3))</f>
        <v/>
      </c>
      <c r="G26" t="str">
        <f>IF($N26=1, "", IF(INDEX(Friday5, $M26+1, 4)="", INDEX(Friday5, $M26, 4), INDEX(Friday5, $M26+1, 4)))</f>
        <v/>
      </c>
      <c r="H26" t="str">
        <f>IF($N26=1, "", INDEX(Friday5, $M26, 1))</f>
        <v/>
      </c>
      <c r="I26" t="str">
        <f>IF($N26=1, "", IF(INDEX(Friday5, $M26+1, 5)="", INDEX(Friday5, $M26, 5), INDEX(Friday5, $M26+1, 5)))</f>
        <v/>
      </c>
      <c r="L26">
        <f>COUNTIF(Friday5_Y, "YES")</f>
        <v>0</v>
      </c>
      <c r="M26" t="str">
        <f>IF(L26&gt;=1, MATCH("Yes", Friday5_Y, 0), "")</f>
        <v/>
      </c>
      <c r="N26">
        <f>IF(L26&lt;&gt;1, 1, 0)</f>
        <v>1</v>
      </c>
    </row>
  </sheetData>
  <phoneticPr fontId="2"/>
  <conditionalFormatting sqref="D25:D26">
    <cfRule type="expression" dxfId="432" priority="6">
      <formula>$N$5=2</formula>
    </cfRule>
  </conditionalFormatting>
  <conditionalFormatting sqref="C3">
    <cfRule type="expression" dxfId="431" priority="37">
      <formula>$N$3=2</formula>
    </cfRule>
  </conditionalFormatting>
  <conditionalFormatting sqref="C4">
    <cfRule type="expression" dxfId="430" priority="36">
      <formula>$N$4=2</formula>
    </cfRule>
  </conditionalFormatting>
  <conditionalFormatting sqref="C5">
    <cfRule type="expression" dxfId="429" priority="35">
      <formula>$N$5=2</formula>
    </cfRule>
  </conditionalFormatting>
  <conditionalFormatting sqref="C7">
    <cfRule type="expression" dxfId="428" priority="34">
      <formula>$N$8=2</formula>
    </cfRule>
  </conditionalFormatting>
  <conditionalFormatting sqref="C8">
    <cfRule type="expression" dxfId="427" priority="33">
      <formula>$N$9=2</formula>
    </cfRule>
  </conditionalFormatting>
  <conditionalFormatting sqref="C9">
    <cfRule type="expression" dxfId="426" priority="32">
      <formula>$N$10=2</formula>
    </cfRule>
  </conditionalFormatting>
  <conditionalFormatting sqref="C12">
    <cfRule type="expression" dxfId="425" priority="30">
      <formula>$N$14=2</formula>
    </cfRule>
  </conditionalFormatting>
  <conditionalFormatting sqref="C13">
    <cfRule type="expression" dxfId="424" priority="29">
      <formula>$N$15=2</formula>
    </cfRule>
  </conditionalFormatting>
  <conditionalFormatting sqref="C14">
    <cfRule type="expression" dxfId="423" priority="27">
      <formula>$N$17=2</formula>
    </cfRule>
  </conditionalFormatting>
  <conditionalFormatting sqref="C17">
    <cfRule type="expression" dxfId="422" priority="26">
      <formula>$N$20=2</formula>
    </cfRule>
  </conditionalFormatting>
  <conditionalFormatting sqref="C18">
    <cfRule type="expression" dxfId="421" priority="24">
      <formula>$N$22=2</formula>
    </cfRule>
  </conditionalFormatting>
  <conditionalFormatting sqref="C19">
    <cfRule type="expression" dxfId="420" priority="23">
      <formula>$N$23=2</formula>
    </cfRule>
  </conditionalFormatting>
  <conditionalFormatting sqref="C23">
    <cfRule type="expression" dxfId="419" priority="22">
      <formula>#REF!=2</formula>
    </cfRule>
  </conditionalFormatting>
  <conditionalFormatting sqref="C25">
    <cfRule type="expression" dxfId="418" priority="21">
      <formula>#REF!=2</formula>
    </cfRule>
  </conditionalFormatting>
  <conditionalFormatting sqref="D3">
    <cfRule type="expression" dxfId="417" priority="20">
      <formula>$N$3=2</formula>
    </cfRule>
  </conditionalFormatting>
  <conditionalFormatting sqref="D4">
    <cfRule type="expression" dxfId="416" priority="19">
      <formula>$N$4=2</formula>
    </cfRule>
  </conditionalFormatting>
  <conditionalFormatting sqref="D5:D6">
    <cfRule type="expression" dxfId="415" priority="18">
      <formula>$N$5=2</formula>
    </cfRule>
  </conditionalFormatting>
  <conditionalFormatting sqref="D8">
    <cfRule type="expression" dxfId="414" priority="17">
      <formula>$N$3=2</formula>
    </cfRule>
  </conditionalFormatting>
  <conditionalFormatting sqref="D9">
    <cfRule type="expression" dxfId="413" priority="16">
      <formula>$N$4=2</formula>
    </cfRule>
  </conditionalFormatting>
  <conditionalFormatting sqref="D10">
    <cfRule type="expression" dxfId="412" priority="15">
      <formula>$N$5=2</formula>
    </cfRule>
  </conditionalFormatting>
  <conditionalFormatting sqref="D13">
    <cfRule type="expression" dxfId="411" priority="14">
      <formula>$N$3=2</formula>
    </cfRule>
  </conditionalFormatting>
  <conditionalFormatting sqref="D14">
    <cfRule type="expression" dxfId="410" priority="13">
      <formula>$N$4=2</formula>
    </cfRule>
  </conditionalFormatting>
  <conditionalFormatting sqref="D15:D16">
    <cfRule type="expression" dxfId="409" priority="12">
      <formula>$N$5=2</formula>
    </cfRule>
  </conditionalFormatting>
  <conditionalFormatting sqref="D18">
    <cfRule type="expression" dxfId="408" priority="11">
      <formula>$N$3=2</formula>
    </cfRule>
  </conditionalFormatting>
  <conditionalFormatting sqref="D19">
    <cfRule type="expression" dxfId="407" priority="10">
      <formula>$N$4=2</formula>
    </cfRule>
  </conditionalFormatting>
  <conditionalFormatting sqref="D20">
    <cfRule type="expression" dxfId="406" priority="9">
      <formula>$N$5=2</formula>
    </cfRule>
  </conditionalFormatting>
  <conditionalFormatting sqref="D23">
    <cfRule type="expression" dxfId="405" priority="8">
      <formula>$N$3=2</formula>
    </cfRule>
  </conditionalFormatting>
  <conditionalFormatting sqref="D24">
    <cfRule type="expression" dxfId="404" priority="7">
      <formula>$N$4=2</formula>
    </cfRule>
  </conditionalFormatting>
  <conditionalFormatting sqref="C10">
    <cfRule type="expression" dxfId="403" priority="67">
      <formula>$N$12=2</formula>
    </cfRule>
  </conditionalFormatting>
  <conditionalFormatting sqref="C15">
    <cfRule type="expression" dxfId="402" priority="69">
      <formula>$N$18=2</formula>
    </cfRule>
  </conditionalFormatting>
  <conditionalFormatting sqref="C20">
    <cfRule type="expression" dxfId="401" priority="72">
      <formula>$N$24=2</formula>
    </cfRule>
  </conditionalFormatting>
  <conditionalFormatting sqref="C6">
    <cfRule type="expression" dxfId="400" priority="5">
      <formula>$N$5=2</formula>
    </cfRule>
  </conditionalFormatting>
  <conditionalFormatting sqref="C11">
    <cfRule type="expression" dxfId="399" priority="4">
      <formula>$N$12=2</formula>
    </cfRule>
  </conditionalFormatting>
  <conditionalFormatting sqref="C16">
    <cfRule type="expression" dxfId="398" priority="3">
      <formula>$N$18=2</formula>
    </cfRule>
  </conditionalFormatting>
  <conditionalFormatting sqref="C21">
    <cfRule type="expression" dxfId="397" priority="2">
      <formula>$N$24=2</formula>
    </cfRule>
  </conditionalFormatting>
  <conditionalFormatting sqref="C26">
    <cfRule type="expression" dxfId="396" priority="1">
      <formula>#REF!=2</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D6"/>
  <sheetViews>
    <sheetView workbookViewId="0">
      <selection activeCell="D7" sqref="D7"/>
    </sheetView>
  </sheetViews>
  <sheetFormatPr defaultRowHeight="13.5"/>
  <sheetData>
    <row r="4" spans="1:4">
      <c r="A4">
        <v>2017</v>
      </c>
      <c r="B4" t="s">
        <v>1</v>
      </c>
      <c r="C4" t="s">
        <v>3</v>
      </c>
      <c r="D4" t="s">
        <v>0</v>
      </c>
    </row>
    <row r="5" spans="1:4">
      <c r="A5">
        <v>2018</v>
      </c>
      <c r="B5" t="s">
        <v>2</v>
      </c>
      <c r="C5" t="s">
        <v>4</v>
      </c>
      <c r="D5" t="s">
        <v>5</v>
      </c>
    </row>
    <row r="6" spans="1:4">
      <c r="D6"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48</vt:i4>
      </vt:variant>
    </vt:vector>
  </HeadingPairs>
  <TitlesOfParts>
    <vt:vector size="51" baseType="lpstr">
      <vt:lpstr>Timetable（R2・秋冬学期) </vt:lpstr>
      <vt:lpstr>Sheet2</vt:lpstr>
      <vt:lpstr>Sheet1</vt:lpstr>
      <vt:lpstr>FamilyName</vt:lpstr>
      <vt:lpstr>FirstName</vt:lpstr>
      <vt:lpstr>Friday1</vt:lpstr>
      <vt:lpstr>Friday1_Y</vt:lpstr>
      <vt:lpstr>Friday2</vt:lpstr>
      <vt:lpstr>Friday2_Y</vt:lpstr>
      <vt:lpstr>Friday4</vt:lpstr>
      <vt:lpstr>Friday4_Y</vt:lpstr>
      <vt:lpstr>Friday5</vt:lpstr>
      <vt:lpstr>Friday5_Y</vt:lpstr>
      <vt:lpstr>Monday2</vt:lpstr>
      <vt:lpstr>Monday2_Y</vt:lpstr>
      <vt:lpstr>Monday3</vt:lpstr>
      <vt:lpstr>Monday3_Y</vt:lpstr>
      <vt:lpstr>Monday4</vt:lpstr>
      <vt:lpstr>Monday4_Y</vt:lpstr>
      <vt:lpstr>Monday5</vt:lpstr>
      <vt:lpstr>Monday5_Y</vt:lpstr>
      <vt:lpstr>'Timetable（R2・秋冬学期) '!Print_Area</vt:lpstr>
      <vt:lpstr>StudentID</vt:lpstr>
      <vt:lpstr>Thursday1</vt:lpstr>
      <vt:lpstr>Thursday1_Y</vt:lpstr>
      <vt:lpstr>Thursday2</vt:lpstr>
      <vt:lpstr>Thursday2_Y</vt:lpstr>
      <vt:lpstr>Thursday3</vt:lpstr>
      <vt:lpstr>Thursday3_Y</vt:lpstr>
      <vt:lpstr>Thursday4</vt:lpstr>
      <vt:lpstr>Thursday4_Y</vt:lpstr>
      <vt:lpstr>Thursday5</vt:lpstr>
      <vt:lpstr>Thursday5_Y</vt:lpstr>
      <vt:lpstr>Tuesday1</vt:lpstr>
      <vt:lpstr>Tuesday1_Y</vt:lpstr>
      <vt:lpstr>Tuesday2</vt:lpstr>
      <vt:lpstr>Tuesday2_Y</vt:lpstr>
      <vt:lpstr>Tuesday3</vt:lpstr>
      <vt:lpstr>Tuesday3_Y</vt:lpstr>
      <vt:lpstr>Tuesday4</vt:lpstr>
      <vt:lpstr>Tuesday4_Y</vt:lpstr>
      <vt:lpstr>Wednesday1</vt:lpstr>
      <vt:lpstr>Wednesday1_Y</vt:lpstr>
      <vt:lpstr>Wednesday2</vt:lpstr>
      <vt:lpstr>Wednesday2_Y</vt:lpstr>
      <vt:lpstr>Wednesday3</vt:lpstr>
      <vt:lpstr>Wednesday3_Y</vt:lpstr>
      <vt:lpstr>Wednesday4</vt:lpstr>
      <vt:lpstr>Wednesday4_Y</vt:lpstr>
      <vt:lpstr>Wednesday5</vt:lpstr>
      <vt:lpstr>Wednesday5_Y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宮錦　智晴</dc:creator>
  <cp:lastModifiedBy>OfficeAssistantStaff</cp:lastModifiedBy>
  <cp:lastPrinted>2019-03-25T07:37:34Z</cp:lastPrinted>
  <dcterms:created xsi:type="dcterms:W3CDTF">2011-08-23T07:43:52Z</dcterms:created>
  <dcterms:modified xsi:type="dcterms:W3CDTF">2020-09-30T05:09:37Z</dcterms:modified>
</cp:coreProperties>
</file>